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/>
  <mc:AlternateContent xmlns:mc="http://schemas.openxmlformats.org/markup-compatibility/2006">
    <mc:Choice Requires="x15">
      <x15ac:absPath xmlns:x15ac="http://schemas.microsoft.com/office/spreadsheetml/2010/11/ac" url="https://connectqutedu-my.sharepoint.com/personal/n11721081_qut_edu_au/Documents/Daniel/"/>
    </mc:Choice>
  </mc:AlternateContent>
  <xr:revisionPtr revIDLastSave="1" documentId="8_{87FB5B75-F7F3-4DB7-8F45-5443C8B54098}" xr6:coauthVersionLast="47" xr6:coauthVersionMax="47" xr10:uidLastSave="{F6466F91-8387-4101-8116-CD693391D440}"/>
  <bookViews>
    <workbookView xWindow="0" yWindow="0" windowWidth="28800" windowHeight="12225" firstSheet="6" activeTab="6" xr2:uid="{00000000-000D-0000-FFFF-FFFF00000000}"/>
  </bookViews>
  <sheets>
    <sheet name="Overview" sheetId="6" r:id="rId1"/>
    <sheet name="Regression Analysis" sheetId="5" r:id="rId2"/>
    <sheet name="IncomeStatement" sheetId="4" r:id="rId3"/>
    <sheet name="Balance Sheet - Standardized" sheetId="12" r:id="rId4"/>
    <sheet name="BalanceSheet" sheetId="3" state="hidden" r:id="rId5"/>
    <sheet name="CFstatement" sheetId="7" r:id="rId6"/>
    <sheet name="Forecast CFs" sheetId="10" r:id="rId7"/>
    <sheet name="Ratios" sheetId="2" r:id="rId8"/>
    <sheet name="CAPEX" sheetId="1" r:id="rId9"/>
    <sheet name="Risk Free Rate" sheetId="9" r:id="rId10"/>
    <sheet name="WACC" sheetId="15" r:id="rId11"/>
  </sheets>
  <externalReferences>
    <externalReference r:id="rId1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" i="10" l="1"/>
  <c r="J37" i="10"/>
  <c r="K37" i="10"/>
  <c r="L37" i="10"/>
  <c r="H37" i="10"/>
  <c r="F37" i="10"/>
  <c r="D37" i="10"/>
  <c r="H38" i="10"/>
  <c r="C39" i="10"/>
  <c r="B69" i="10" l="1"/>
  <c r="C7" i="15"/>
  <c r="D7" i="15"/>
  <c r="E7" i="15"/>
  <c r="F7" i="15"/>
  <c r="G7" i="15"/>
  <c r="H7" i="15"/>
  <c r="C8" i="15"/>
  <c r="D8" i="15"/>
  <c r="E8" i="15"/>
  <c r="F8" i="15"/>
  <c r="G8" i="15"/>
  <c r="H8" i="15"/>
  <c r="C10" i="15"/>
  <c r="D10" i="15"/>
  <c r="E10" i="15"/>
  <c r="F10" i="15"/>
  <c r="G10" i="15"/>
  <c r="H10" i="15"/>
  <c r="C11" i="15"/>
  <c r="D11" i="15"/>
  <c r="E11" i="15"/>
  <c r="F11" i="15"/>
  <c r="G11" i="15"/>
  <c r="H11" i="15"/>
  <c r="C13" i="15"/>
  <c r="D13" i="15"/>
  <c r="E13" i="15"/>
  <c r="F13" i="15"/>
  <c r="G13" i="15"/>
  <c r="H13" i="15"/>
  <c r="C14" i="15"/>
  <c r="D14" i="15"/>
  <c r="E14" i="15"/>
  <c r="F14" i="15"/>
  <c r="G14" i="15"/>
  <c r="H14" i="15"/>
  <c r="C15" i="15"/>
  <c r="D15" i="15"/>
  <c r="E15" i="15"/>
  <c r="F15" i="15"/>
  <c r="G15" i="15"/>
  <c r="H15" i="15"/>
  <c r="C18" i="15"/>
  <c r="D18" i="15"/>
  <c r="E18" i="15"/>
  <c r="F18" i="15"/>
  <c r="G18" i="15"/>
  <c r="H18" i="15"/>
  <c r="C19" i="15"/>
  <c r="D19" i="15"/>
  <c r="E19" i="15"/>
  <c r="F19" i="15"/>
  <c r="G19" i="15"/>
  <c r="H19" i="15"/>
  <c r="C20" i="15"/>
  <c r="D20" i="15"/>
  <c r="E20" i="15"/>
  <c r="F20" i="15"/>
  <c r="G20" i="15"/>
  <c r="H20" i="15"/>
  <c r="C21" i="15"/>
  <c r="D21" i="15"/>
  <c r="E21" i="15"/>
  <c r="F21" i="15"/>
  <c r="G21" i="15"/>
  <c r="H21" i="15"/>
  <c r="C22" i="15"/>
  <c r="D22" i="15"/>
  <c r="E22" i="15"/>
  <c r="F22" i="15"/>
  <c r="G22" i="15"/>
  <c r="H22" i="15"/>
  <c r="C25" i="15"/>
  <c r="D25" i="15"/>
  <c r="E25" i="15"/>
  <c r="F25" i="15"/>
  <c r="G25" i="15"/>
  <c r="H25" i="15"/>
  <c r="C26" i="15"/>
  <c r="D26" i="15"/>
  <c r="E26" i="15"/>
  <c r="F26" i="15"/>
  <c r="G26" i="15"/>
  <c r="H26" i="15"/>
  <c r="C27" i="15"/>
  <c r="D27" i="15"/>
  <c r="E27" i="15"/>
  <c r="F27" i="15"/>
  <c r="G27" i="15"/>
  <c r="H27" i="15"/>
  <c r="C28" i="15"/>
  <c r="D28" i="15"/>
  <c r="E28" i="15"/>
  <c r="F28" i="15"/>
  <c r="G28" i="15"/>
  <c r="H28" i="15"/>
  <c r="C29" i="15"/>
  <c r="D29" i="15"/>
  <c r="E29" i="15"/>
  <c r="F29" i="15"/>
  <c r="G29" i="15"/>
  <c r="H29" i="15"/>
  <c r="C30" i="15"/>
  <c r="D30" i="15"/>
  <c r="E30" i="15"/>
  <c r="F30" i="15"/>
  <c r="G30" i="15"/>
  <c r="H30" i="15"/>
  <c r="C31" i="15"/>
  <c r="D31" i="15"/>
  <c r="E31" i="15"/>
  <c r="F31" i="15"/>
  <c r="G31" i="15"/>
  <c r="H31" i="15"/>
  <c r="C32" i="15"/>
  <c r="D32" i="15"/>
  <c r="E32" i="15"/>
  <c r="F32" i="15"/>
  <c r="G32" i="15"/>
  <c r="H32" i="15"/>
  <c r="C33" i="15"/>
  <c r="D33" i="15"/>
  <c r="E33" i="15"/>
  <c r="F33" i="15"/>
  <c r="G33" i="15"/>
  <c r="H33" i="15"/>
  <c r="G81" i="10"/>
  <c r="F81" i="10"/>
  <c r="D79" i="10"/>
  <c r="B68" i="10"/>
  <c r="E81" i="10"/>
  <c r="C79" i="10"/>
  <c r="D68" i="10"/>
  <c r="D81" i="10"/>
  <c r="B79" i="10"/>
  <c r="C81" i="10"/>
  <c r="G68" i="10"/>
  <c r="F68" i="10"/>
  <c r="C68" i="10"/>
  <c r="B81" i="10"/>
  <c r="G79" i="10"/>
  <c r="E68" i="10"/>
  <c r="F79" i="10"/>
  <c r="E79" i="10"/>
  <c r="G38" i="15" l="1"/>
  <c r="F38" i="15"/>
  <c r="E38" i="15"/>
  <c r="D38" i="15"/>
  <c r="C38" i="15"/>
  <c r="C39" i="15" s="1"/>
  <c r="C37" i="15"/>
  <c r="C70" i="10"/>
  <c r="D70" i="10"/>
  <c r="E70" i="10"/>
  <c r="F70" i="10"/>
  <c r="G70" i="10"/>
  <c r="E1591" i="9"/>
  <c r="D58" i="10"/>
  <c r="E58" i="10"/>
  <c r="F58" i="10"/>
  <c r="G58" i="10"/>
  <c r="C58" i="10"/>
  <c r="B59" i="10" s="1"/>
  <c r="H40" i="10" s="1"/>
  <c r="I40" i="10" l="1"/>
  <c r="J40" i="10" s="1"/>
  <c r="K40" i="10" s="1"/>
  <c r="L40" i="10" s="1"/>
  <c r="G43" i="10"/>
  <c r="I38" i="10"/>
  <c r="J38" i="10" s="1"/>
  <c r="K38" i="10" s="1"/>
  <c r="L38" i="10" s="1"/>
  <c r="B51" i="10"/>
  <c r="F43" i="10"/>
  <c r="E43" i="10"/>
  <c r="D43" i="10"/>
  <c r="C43" i="10"/>
  <c r="G41" i="10"/>
  <c r="F41" i="10"/>
  <c r="E41" i="10"/>
  <c r="D41" i="10"/>
  <c r="C41" i="10"/>
  <c r="G39" i="10"/>
  <c r="F39" i="10"/>
  <c r="E39" i="10"/>
  <c r="D39" i="10"/>
  <c r="C7" i="12"/>
  <c r="D7" i="12"/>
  <c r="E7" i="12"/>
  <c r="F7" i="12"/>
  <c r="G7" i="12"/>
  <c r="H7" i="12"/>
  <c r="C8" i="12"/>
  <c r="D8" i="12"/>
  <c r="E8" i="12"/>
  <c r="F8" i="12"/>
  <c r="G8" i="12"/>
  <c r="H8" i="12"/>
  <c r="C9" i="12"/>
  <c r="D9" i="12"/>
  <c r="E9" i="12"/>
  <c r="F9" i="12"/>
  <c r="G9" i="12"/>
  <c r="H9" i="12"/>
  <c r="C10" i="12"/>
  <c r="D10" i="12"/>
  <c r="E10" i="12"/>
  <c r="F10" i="12"/>
  <c r="G10" i="12"/>
  <c r="H10" i="12"/>
  <c r="C11" i="12"/>
  <c r="D11" i="12"/>
  <c r="E11" i="12"/>
  <c r="F11" i="12"/>
  <c r="G11" i="12"/>
  <c r="H11" i="12"/>
  <c r="C12" i="12"/>
  <c r="D12" i="12"/>
  <c r="E12" i="12"/>
  <c r="F12" i="12"/>
  <c r="G12" i="12"/>
  <c r="H12" i="12"/>
  <c r="C13" i="12"/>
  <c r="D13" i="12"/>
  <c r="E13" i="12"/>
  <c r="F13" i="12"/>
  <c r="G13" i="12"/>
  <c r="H13" i="12"/>
  <c r="C14" i="12"/>
  <c r="D14" i="12"/>
  <c r="E14" i="12"/>
  <c r="F14" i="12"/>
  <c r="G14" i="12"/>
  <c r="H14" i="12"/>
  <c r="C15" i="12"/>
  <c r="D15" i="12"/>
  <c r="E15" i="12"/>
  <c r="F15" i="12"/>
  <c r="G15" i="12"/>
  <c r="H15" i="12"/>
  <c r="C16" i="12"/>
  <c r="D16" i="12"/>
  <c r="E16" i="12"/>
  <c r="F16" i="12"/>
  <c r="G16" i="12"/>
  <c r="H16" i="12"/>
  <c r="C17" i="12"/>
  <c r="D17" i="12"/>
  <c r="E17" i="12"/>
  <c r="F17" i="12"/>
  <c r="G17" i="12"/>
  <c r="H17" i="12"/>
  <c r="C18" i="12"/>
  <c r="D18" i="12"/>
  <c r="E18" i="12"/>
  <c r="F18" i="12"/>
  <c r="G18" i="12"/>
  <c r="H18" i="12"/>
  <c r="C19" i="12"/>
  <c r="D19" i="12"/>
  <c r="E19" i="12"/>
  <c r="F19" i="12"/>
  <c r="G19" i="12"/>
  <c r="H19" i="12"/>
  <c r="C20" i="12"/>
  <c r="D20" i="12"/>
  <c r="E20" i="12"/>
  <c r="F20" i="12"/>
  <c r="G20" i="12"/>
  <c r="H20" i="12"/>
  <c r="C21" i="12"/>
  <c r="D21" i="12"/>
  <c r="E21" i="12"/>
  <c r="F21" i="12"/>
  <c r="G21" i="12"/>
  <c r="H21" i="12"/>
  <c r="C22" i="12"/>
  <c r="D22" i="12"/>
  <c r="E22" i="12"/>
  <c r="F22" i="12"/>
  <c r="G22" i="12"/>
  <c r="H22" i="12"/>
  <c r="C23" i="12"/>
  <c r="D23" i="12"/>
  <c r="E23" i="12"/>
  <c r="F23" i="12"/>
  <c r="G23" i="12"/>
  <c r="H23" i="12"/>
  <c r="C24" i="12"/>
  <c r="D24" i="12"/>
  <c r="E24" i="12"/>
  <c r="F24" i="12"/>
  <c r="G24" i="12"/>
  <c r="H24" i="12"/>
  <c r="C25" i="12"/>
  <c r="D25" i="12"/>
  <c r="E25" i="12"/>
  <c r="F25" i="12"/>
  <c r="G25" i="12"/>
  <c r="H25" i="12"/>
  <c r="C26" i="12"/>
  <c r="D26" i="12"/>
  <c r="E26" i="12"/>
  <c r="F26" i="12"/>
  <c r="G26" i="12"/>
  <c r="H26" i="12"/>
  <c r="C27" i="12"/>
  <c r="D27" i="12"/>
  <c r="E27" i="12"/>
  <c r="F27" i="12"/>
  <c r="G27" i="12"/>
  <c r="H27" i="12"/>
  <c r="C28" i="12"/>
  <c r="D28" i="12"/>
  <c r="E28" i="12"/>
  <c r="F28" i="12"/>
  <c r="G28" i="12"/>
  <c r="H28" i="12"/>
  <c r="C29" i="12"/>
  <c r="D29" i="12"/>
  <c r="E29" i="12"/>
  <c r="F29" i="12"/>
  <c r="G29" i="12"/>
  <c r="H29" i="12"/>
  <c r="C30" i="12"/>
  <c r="D30" i="12"/>
  <c r="E30" i="12"/>
  <c r="F30" i="12"/>
  <c r="G30" i="12"/>
  <c r="H30" i="12"/>
  <c r="C31" i="12"/>
  <c r="D31" i="12"/>
  <c r="E31" i="12"/>
  <c r="F31" i="12"/>
  <c r="G31" i="12"/>
  <c r="H31" i="12"/>
  <c r="C32" i="12"/>
  <c r="D32" i="12"/>
  <c r="E32" i="12"/>
  <c r="F32" i="12"/>
  <c r="G32" i="12"/>
  <c r="H32" i="12"/>
  <c r="C33" i="12"/>
  <c r="D33" i="12"/>
  <c r="E33" i="12"/>
  <c r="F33" i="12"/>
  <c r="G33" i="12"/>
  <c r="H33" i="12"/>
  <c r="C34" i="12"/>
  <c r="D34" i="12"/>
  <c r="E34" i="12"/>
  <c r="F34" i="12"/>
  <c r="G34" i="12"/>
  <c r="H34" i="12"/>
  <c r="C35" i="12"/>
  <c r="D35" i="12"/>
  <c r="E35" i="12"/>
  <c r="F35" i="12"/>
  <c r="G35" i="12"/>
  <c r="H35" i="12"/>
  <c r="C36" i="12"/>
  <c r="D36" i="12"/>
  <c r="E36" i="12"/>
  <c r="F36" i="12"/>
  <c r="G36" i="12"/>
  <c r="H36" i="12"/>
  <c r="C37" i="12"/>
  <c r="D37" i="12"/>
  <c r="E37" i="12"/>
  <c r="F37" i="12"/>
  <c r="G37" i="12"/>
  <c r="H37" i="12"/>
  <c r="C40" i="12"/>
  <c r="D40" i="12"/>
  <c r="E40" i="12"/>
  <c r="F40" i="12"/>
  <c r="G40" i="12"/>
  <c r="H40" i="12"/>
  <c r="C41" i="12"/>
  <c r="D41" i="12"/>
  <c r="E41" i="12"/>
  <c r="F41" i="12"/>
  <c r="G41" i="12"/>
  <c r="H41" i="12"/>
  <c r="C42" i="12"/>
  <c r="D42" i="12"/>
  <c r="E42" i="12"/>
  <c r="F42" i="12"/>
  <c r="G42" i="12"/>
  <c r="H42" i="12"/>
  <c r="C43" i="12"/>
  <c r="D43" i="12"/>
  <c r="E43" i="12"/>
  <c r="F43" i="12"/>
  <c r="G43" i="12"/>
  <c r="H43" i="12"/>
  <c r="C44" i="12"/>
  <c r="D44" i="12"/>
  <c r="E44" i="12"/>
  <c r="F44" i="12"/>
  <c r="G44" i="12"/>
  <c r="H44" i="12"/>
  <c r="C45" i="12"/>
  <c r="D45" i="12"/>
  <c r="E45" i="12"/>
  <c r="F45" i="12"/>
  <c r="G45" i="12"/>
  <c r="H45" i="12"/>
  <c r="C46" i="12"/>
  <c r="D46" i="12"/>
  <c r="E46" i="12"/>
  <c r="F46" i="12"/>
  <c r="G46" i="12"/>
  <c r="H46" i="12"/>
  <c r="C47" i="12"/>
  <c r="D47" i="12"/>
  <c r="E47" i="12"/>
  <c r="F47" i="12"/>
  <c r="G47" i="12"/>
  <c r="H47" i="12"/>
  <c r="C48" i="12"/>
  <c r="D48" i="12"/>
  <c r="E48" i="12"/>
  <c r="F48" i="12"/>
  <c r="G48" i="12"/>
  <c r="H48" i="12"/>
  <c r="C49" i="12"/>
  <c r="D49" i="12"/>
  <c r="E49" i="12"/>
  <c r="F49" i="12"/>
  <c r="G49" i="12"/>
  <c r="H49" i="12"/>
  <c r="C50" i="12"/>
  <c r="D50" i="12"/>
  <c r="E50" i="12"/>
  <c r="F50" i="12"/>
  <c r="G50" i="12"/>
  <c r="H50" i="12"/>
  <c r="C51" i="12"/>
  <c r="D51" i="12"/>
  <c r="E51" i="12"/>
  <c r="F51" i="12"/>
  <c r="G51" i="12"/>
  <c r="H51" i="12"/>
  <c r="C52" i="12"/>
  <c r="D52" i="12"/>
  <c r="E52" i="12"/>
  <c r="F52" i="12"/>
  <c r="G52" i="12"/>
  <c r="H52" i="12"/>
  <c r="C53" i="12"/>
  <c r="D53" i="12"/>
  <c r="E53" i="12"/>
  <c r="F53" i="12"/>
  <c r="G53" i="12"/>
  <c r="H53" i="12"/>
  <c r="C54" i="12"/>
  <c r="D54" i="12"/>
  <c r="E54" i="12"/>
  <c r="F54" i="12"/>
  <c r="G54" i="12"/>
  <c r="H54" i="12"/>
  <c r="C55" i="12"/>
  <c r="D55" i="12"/>
  <c r="E55" i="12"/>
  <c r="F55" i="12"/>
  <c r="G55" i="12"/>
  <c r="H55" i="12"/>
  <c r="C56" i="12"/>
  <c r="D56" i="12"/>
  <c r="E56" i="12"/>
  <c r="F56" i="12"/>
  <c r="G56" i="12"/>
  <c r="H56" i="12"/>
  <c r="C57" i="12"/>
  <c r="D57" i="12"/>
  <c r="E57" i="12"/>
  <c r="F57" i="12"/>
  <c r="G57" i="12"/>
  <c r="H57" i="12"/>
  <c r="C58" i="12"/>
  <c r="D58" i="12"/>
  <c r="E58" i="12"/>
  <c r="F58" i="12"/>
  <c r="G58" i="12"/>
  <c r="H58" i="12"/>
  <c r="C59" i="12"/>
  <c r="D59" i="12"/>
  <c r="E59" i="12"/>
  <c r="F59" i="12"/>
  <c r="G59" i="12"/>
  <c r="H59" i="12"/>
  <c r="C60" i="12"/>
  <c r="D60" i="12"/>
  <c r="E60" i="12"/>
  <c r="F60" i="12"/>
  <c r="G60" i="12"/>
  <c r="H60" i="12"/>
  <c r="C61" i="12"/>
  <c r="D61" i="12"/>
  <c r="E61" i="12"/>
  <c r="F61" i="12"/>
  <c r="G61" i="12"/>
  <c r="H61" i="12"/>
  <c r="C62" i="12"/>
  <c r="D62" i="12"/>
  <c r="E62" i="12"/>
  <c r="F62" i="12"/>
  <c r="G62" i="12"/>
  <c r="H62" i="12"/>
  <c r="C63" i="12"/>
  <c r="D63" i="12"/>
  <c r="E63" i="12"/>
  <c r="F63" i="12"/>
  <c r="G63" i="12"/>
  <c r="H63" i="12"/>
  <c r="C64" i="12"/>
  <c r="D64" i="12"/>
  <c r="E64" i="12"/>
  <c r="F64" i="12"/>
  <c r="G64" i="12"/>
  <c r="H64" i="12"/>
  <c r="C65" i="12"/>
  <c r="D65" i="12"/>
  <c r="E65" i="12"/>
  <c r="F65" i="12"/>
  <c r="G65" i="12"/>
  <c r="H65" i="12"/>
  <c r="C66" i="12"/>
  <c r="D66" i="12"/>
  <c r="E66" i="12"/>
  <c r="F66" i="12"/>
  <c r="G66" i="12"/>
  <c r="H66" i="12"/>
  <c r="C67" i="12"/>
  <c r="D67" i="12"/>
  <c r="E67" i="12"/>
  <c r="F67" i="12"/>
  <c r="G67" i="12"/>
  <c r="H67" i="12"/>
  <c r="C68" i="12"/>
  <c r="D68" i="12"/>
  <c r="E68" i="12"/>
  <c r="F68" i="12"/>
  <c r="G68" i="12"/>
  <c r="H68" i="12"/>
  <c r="C69" i="12"/>
  <c r="D69" i="12"/>
  <c r="E69" i="12"/>
  <c r="F69" i="12"/>
  <c r="G69" i="12"/>
  <c r="H69" i="12"/>
  <c r="C70" i="12"/>
  <c r="D70" i="12"/>
  <c r="E70" i="12"/>
  <c r="F70" i="12"/>
  <c r="G70" i="12"/>
  <c r="H70" i="12"/>
  <c r="C71" i="12"/>
  <c r="D71" i="12"/>
  <c r="E71" i="12"/>
  <c r="F71" i="12"/>
  <c r="G71" i="12"/>
  <c r="H71" i="12"/>
  <c r="C72" i="12"/>
  <c r="D72" i="12"/>
  <c r="E72" i="12"/>
  <c r="F72" i="12"/>
  <c r="G72" i="12"/>
  <c r="H72" i="12"/>
  <c r="C73" i="12"/>
  <c r="D73" i="12"/>
  <c r="E73" i="12"/>
  <c r="F73" i="12"/>
  <c r="G73" i="12"/>
  <c r="H73" i="12"/>
  <c r="C74" i="12"/>
  <c r="D74" i="12"/>
  <c r="E74" i="12"/>
  <c r="F74" i="12"/>
  <c r="G74" i="12"/>
  <c r="H74" i="12"/>
  <c r="C75" i="12"/>
  <c r="D75" i="12"/>
  <c r="E75" i="12"/>
  <c r="F75" i="12"/>
  <c r="G75" i="12"/>
  <c r="H75" i="12"/>
  <c r="C76" i="12"/>
  <c r="D76" i="12"/>
  <c r="E76" i="12"/>
  <c r="F76" i="12"/>
  <c r="G76" i="12"/>
  <c r="H76" i="12"/>
  <c r="C77" i="12"/>
  <c r="D77" i="12"/>
  <c r="E77" i="12"/>
  <c r="F77" i="12"/>
  <c r="G77" i="12"/>
  <c r="H77" i="12"/>
  <c r="C81" i="12"/>
  <c r="D81" i="12"/>
  <c r="E81" i="12"/>
  <c r="F81" i="12"/>
  <c r="G81" i="12"/>
  <c r="H81" i="12"/>
  <c r="C82" i="12"/>
  <c r="D82" i="12"/>
  <c r="E82" i="12"/>
  <c r="F82" i="12"/>
  <c r="G82" i="12"/>
  <c r="H82" i="12"/>
  <c r="C83" i="12"/>
  <c r="D83" i="12"/>
  <c r="E83" i="12"/>
  <c r="F83" i="12"/>
  <c r="G83" i="12"/>
  <c r="H83" i="12"/>
  <c r="C84" i="12"/>
  <c r="D84" i="12"/>
  <c r="E84" i="12"/>
  <c r="F84" i="12"/>
  <c r="G84" i="12"/>
  <c r="H84" i="12"/>
  <c r="C85" i="12"/>
  <c r="D85" i="12"/>
  <c r="E85" i="12"/>
  <c r="F85" i="12"/>
  <c r="G85" i="12"/>
  <c r="H85" i="12"/>
  <c r="C86" i="12"/>
  <c r="D86" i="12"/>
  <c r="E86" i="12"/>
  <c r="F86" i="12"/>
  <c r="G86" i="12"/>
  <c r="H86" i="12"/>
  <c r="C87" i="12"/>
  <c r="D87" i="12"/>
  <c r="E87" i="12"/>
  <c r="F87" i="12"/>
  <c r="G87" i="12"/>
  <c r="H87" i="12"/>
  <c r="C88" i="12"/>
  <c r="D88" i="12"/>
  <c r="E88" i="12"/>
  <c r="F88" i="12"/>
  <c r="G88" i="12"/>
  <c r="H88" i="12"/>
  <c r="C89" i="12"/>
  <c r="D89" i="12"/>
  <c r="E89" i="12"/>
  <c r="F89" i="12"/>
  <c r="G89" i="12"/>
  <c r="H89" i="12"/>
  <c r="C90" i="12"/>
  <c r="D90" i="12"/>
  <c r="E90" i="12"/>
  <c r="F90" i="12"/>
  <c r="G90" i="12"/>
  <c r="H90" i="12"/>
  <c r="C91" i="12"/>
  <c r="D91" i="12"/>
  <c r="E91" i="12"/>
  <c r="F91" i="12"/>
  <c r="G91" i="12"/>
  <c r="H91" i="12"/>
  <c r="C92" i="12"/>
  <c r="D92" i="12"/>
  <c r="E92" i="12"/>
  <c r="F92" i="12"/>
  <c r="G92" i="12"/>
  <c r="H92" i="12"/>
  <c r="C93" i="12"/>
  <c r="D93" i="12"/>
  <c r="E93" i="12"/>
  <c r="F93" i="12"/>
  <c r="G93" i="12"/>
  <c r="H93" i="12"/>
  <c r="C94" i="12"/>
  <c r="D94" i="12"/>
  <c r="E94" i="12"/>
  <c r="F94" i="12"/>
  <c r="G94" i="12"/>
  <c r="H94" i="12"/>
  <c r="F45" i="10"/>
  <c r="G44" i="10"/>
  <c r="E45" i="10"/>
  <c r="F44" i="10"/>
  <c r="D45" i="10"/>
  <c r="E44" i="10"/>
  <c r="C45" i="10"/>
  <c r="D44" i="10"/>
  <c r="B45" i="10"/>
  <c r="C44" i="10"/>
  <c r="B44" i="10"/>
  <c r="G45" i="10"/>
  <c r="H45" i="10" l="1"/>
  <c r="I45" i="10" s="1"/>
  <c r="J45" i="10" s="1"/>
  <c r="K45" i="10" s="1"/>
  <c r="L45" i="10" s="1"/>
  <c r="H44" i="10"/>
  <c r="C56" i="10"/>
  <c r="D56" i="10"/>
  <c r="E56" i="10"/>
  <c r="F56" i="10"/>
  <c r="G56" i="10"/>
  <c r="C54" i="10"/>
  <c r="D54" i="10"/>
  <c r="E54" i="10"/>
  <c r="F54" i="10"/>
  <c r="G54" i="10"/>
  <c r="B53" i="10"/>
  <c r="C46" i="10"/>
  <c r="B52" i="10"/>
  <c r="B46" i="10"/>
  <c r="D46" i="10"/>
  <c r="E46" i="10"/>
  <c r="F46" i="10"/>
  <c r="G46" i="10"/>
  <c r="H54" i="10" l="1"/>
  <c r="E47" i="10"/>
  <c r="H56" i="10"/>
  <c r="H46" i="10"/>
  <c r="H47" i="10" s="1"/>
  <c r="I44" i="10"/>
  <c r="G47" i="10"/>
  <c r="H42" i="10"/>
  <c r="F47" i="10"/>
  <c r="D47" i="10"/>
  <c r="C47" i="10"/>
  <c r="P24" i="5"/>
  <c r="H12" i="10" l="1"/>
  <c r="I42" i="10"/>
  <c r="I46" i="10"/>
  <c r="I47" i="10" s="1"/>
  <c r="J44" i="10"/>
  <c r="H76" i="10" l="1"/>
  <c r="H77" i="10" s="1"/>
  <c r="H73" i="10"/>
  <c r="I12" i="10"/>
  <c r="J46" i="10"/>
  <c r="J47" i="10" s="1"/>
  <c r="K44" i="10"/>
  <c r="J42" i="10"/>
  <c r="I76" i="10" l="1"/>
  <c r="I77" i="10" s="1"/>
  <c r="I73" i="10"/>
  <c r="J12" i="10"/>
  <c r="K42" i="10"/>
  <c r="L44" i="10"/>
  <c r="L46" i="10" s="1"/>
  <c r="K46" i="10"/>
  <c r="K47" i="10" s="1"/>
  <c r="J76" i="10" l="1"/>
  <c r="J77" i="10" s="1"/>
  <c r="J73" i="10"/>
  <c r="K12" i="10"/>
  <c r="L47" i="10"/>
  <c r="L42" i="10"/>
  <c r="K76" i="10" l="1"/>
  <c r="K77" i="10" s="1"/>
  <c r="K73" i="10"/>
  <c r="L12" i="10"/>
  <c r="L76" i="10" l="1"/>
  <c r="L77" i="10" s="1"/>
  <c r="L73" i="10"/>
  <c r="B74" i="10" s="1"/>
  <c r="B78" i="10" l="1"/>
  <c r="H80" i="10" s="1"/>
  <c r="B83" i="10" s="1"/>
</calcChain>
</file>

<file path=xl/sharedStrings.xml><?xml version="1.0" encoding="utf-8"?>
<sst xmlns="http://schemas.openxmlformats.org/spreadsheetml/2006/main" count="2957" uniqueCount="2404">
  <si>
    <t>JB Hi-Fi Ltd (JBH AU) - Overview</t>
  </si>
  <si>
    <t>In Millions of AUD except Per Share</t>
  </si>
  <si>
    <t>FY 2019</t>
  </si>
  <si>
    <t>FY 2020</t>
  </si>
  <si>
    <t>FY 2021</t>
  </si>
  <si>
    <t>FY 2022</t>
  </si>
  <si>
    <t>FY 2023</t>
  </si>
  <si>
    <t>FY 2024</t>
  </si>
  <si>
    <t>Last 12M</t>
  </si>
  <si>
    <t>FY 2025 Est</t>
  </si>
  <si>
    <t>FY 2026 Est</t>
  </si>
  <si>
    <t>12 Months Ending</t>
  </si>
  <si>
    <t>06/30/2019</t>
  </si>
  <si>
    <t>06/30/2020</t>
  </si>
  <si>
    <t>06/30/2021</t>
  </si>
  <si>
    <t>06/30/2022</t>
  </si>
  <si>
    <t>06/30/2023</t>
  </si>
  <si>
    <t>06/30/2024</t>
  </si>
  <si>
    <t>12/31/2024</t>
  </si>
  <si>
    <t>06/30/2025</t>
  </si>
  <si>
    <t>06/30/2026</t>
  </si>
  <si>
    <t>Accounting Standard</t>
  </si>
  <si>
    <t>ACCOUNTING_STANDARD</t>
  </si>
  <si>
    <t>IAS/IFRS</t>
  </si>
  <si>
    <t>Number of Employees</t>
  </si>
  <si>
    <t>NUM_OF_EMPLOYEES</t>
  </si>
  <si>
    <t>Last Price</t>
  </si>
  <si>
    <t>PX_LAST</t>
  </si>
  <si>
    <t>Shares Outstanding</t>
  </si>
  <si>
    <t>BS_SH_OUT</t>
  </si>
  <si>
    <t>Market Capitalization</t>
  </si>
  <si>
    <t>HISTORICAL_MARKET_CAP</t>
  </si>
  <si>
    <t>Revenue</t>
  </si>
  <si>
    <t>SALES_REV_TURN</t>
  </si>
  <si>
    <t>EBITDA</t>
  </si>
  <si>
    <t>Trailing 12M EBITDA Margin</t>
  </si>
  <si>
    <t>EBITDA_MARGIN</t>
  </si>
  <si>
    <t>Net Income (Losses)</t>
  </si>
  <si>
    <t>NET_INCOME</t>
  </si>
  <si>
    <t>Trailing 12M Earnings per Share</t>
  </si>
  <si>
    <t>TRAIL_12M_EPS</t>
  </si>
  <si>
    <t>Price/T12M Earnings per Share</t>
  </si>
  <si>
    <t>PE_RATIO</t>
  </si>
  <si>
    <t>Dividends per Share</t>
  </si>
  <si>
    <t>EQY_DPS</t>
  </si>
  <si>
    <t>Dividend Payout Ratio</t>
  </si>
  <si>
    <t>DVD_PAYOUT_RATIO</t>
  </si>
  <si>
    <t>Dividend Yield</t>
  </si>
  <si>
    <t>DIVIDEND_12_MONTH_YIELD</t>
  </si>
  <si>
    <t>Net Fixed Assets</t>
  </si>
  <si>
    <t>BS_NET_FIX_ASSET</t>
  </si>
  <si>
    <t>Total Assets</t>
  </si>
  <si>
    <t>BS_TOT_ASSET</t>
  </si>
  <si>
    <t>Total Liabilities</t>
  </si>
  <si>
    <t>BS_TOT_LIAB2</t>
  </si>
  <si>
    <t>Total Equity</t>
  </si>
  <si>
    <t>TOTAL_EQUITY</t>
  </si>
  <si>
    <t>Book Value per Share</t>
  </si>
  <si>
    <t>BOOK_VAL_PER_SH</t>
  </si>
  <si>
    <t>Price/Book Value per Share</t>
  </si>
  <si>
    <t>PX_TO_BOOK_RATIO</t>
  </si>
  <si>
    <t>Net Tangible Assets per Share</t>
  </si>
  <si>
    <t>TANG_BOOK_VAL_PER_SH</t>
  </si>
  <si>
    <t>Altman's Z-Score</t>
  </si>
  <si>
    <t>ALTMAN_Z_SCORE</t>
  </si>
  <si>
    <t>Cash From Operations</t>
  </si>
  <si>
    <t>CF_CASH_FROM_OPER</t>
  </si>
  <si>
    <t>Cash Flow per Share</t>
  </si>
  <si>
    <t>CASH_FLOW_PER_SH</t>
  </si>
  <si>
    <t>Free Cash Flow</t>
  </si>
  <si>
    <t>CF_FREE_CASH_FLOW</t>
  </si>
  <si>
    <t>Free Cash Flow per Basic Share</t>
  </si>
  <si>
    <t>FREE_CASH_FLOW_PER_SH</t>
  </si>
  <si>
    <t>Net Changes in Cash</t>
  </si>
  <si>
    <t>CF_NET_CHNG_CASH</t>
  </si>
  <si>
    <t>Source: Bloomberg</t>
  </si>
  <si>
    <t>Right click to show data transparency (not supported for all values)</t>
  </si>
  <si>
    <t>JBH</t>
  </si>
  <si>
    <t>ASX200</t>
  </si>
  <si>
    <t>Date</t>
  </si>
  <si>
    <t>Adjusted Price</t>
  </si>
  <si>
    <t>Raw Price or Label Value</t>
  </si>
  <si>
    <t>JBH Return</t>
  </si>
  <si>
    <t xml:space="preserve">Date </t>
  </si>
  <si>
    <t>ASX200 Return</t>
  </si>
  <si>
    <t>1/18/2019</t>
  </si>
  <si>
    <t>1/25/2019</t>
  </si>
  <si>
    <t>SUMMARY OUTPUT</t>
  </si>
  <si>
    <t>2/15/2019</t>
  </si>
  <si>
    <t>Regression Statistics</t>
  </si>
  <si>
    <t>2/22/2019</t>
  </si>
  <si>
    <t>Multiple R</t>
  </si>
  <si>
    <t>R Square</t>
  </si>
  <si>
    <t>Adjusted R Square</t>
  </si>
  <si>
    <t>3/15/2019</t>
  </si>
  <si>
    <t>Standard Error</t>
  </si>
  <si>
    <t>3/22/2019</t>
  </si>
  <si>
    <t>Observations</t>
  </si>
  <si>
    <t>3/29/2019</t>
  </si>
  <si>
    <t>ANOVA</t>
  </si>
  <si>
    <t>df</t>
  </si>
  <si>
    <t>SS</t>
  </si>
  <si>
    <t>MS</t>
  </si>
  <si>
    <t>F</t>
  </si>
  <si>
    <t>Significance F</t>
  </si>
  <si>
    <t>4/19/2019</t>
  </si>
  <si>
    <t>Regression</t>
  </si>
  <si>
    <t>4/26/2019</t>
  </si>
  <si>
    <t>Residual</t>
  </si>
  <si>
    <t>Total</t>
  </si>
  <si>
    <t>5/17/2019</t>
  </si>
  <si>
    <t>Coefficients</t>
  </si>
  <si>
    <t>t Stat</t>
  </si>
  <si>
    <t>P-value</t>
  </si>
  <si>
    <t>Lower 95%</t>
  </si>
  <si>
    <t>Upper 95%</t>
  </si>
  <si>
    <t>5/24/2019</t>
  </si>
  <si>
    <t>Intercept</t>
  </si>
  <si>
    <t>5/31/2019</t>
  </si>
  <si>
    <t>6/14/2019</t>
  </si>
  <si>
    <t>6/21/2019</t>
  </si>
  <si>
    <t>6/28/2019</t>
  </si>
  <si>
    <t>RESIDUAL OUTPUT</t>
  </si>
  <si>
    <t>Observation</t>
  </si>
  <si>
    <t>Predicted Y</t>
  </si>
  <si>
    <t>Residuals</t>
  </si>
  <si>
    <t>Standard Residuals</t>
  </si>
  <si>
    <t>7/19/2019</t>
  </si>
  <si>
    <t>7/26/2019</t>
  </si>
  <si>
    <t>8/16/2019</t>
  </si>
  <si>
    <t>8/23/2019</t>
  </si>
  <si>
    <t>8/30/2019</t>
  </si>
  <si>
    <t>9/13/2019</t>
  </si>
  <si>
    <t>\</t>
  </si>
  <si>
    <t>9/20/2019</t>
  </si>
  <si>
    <t>9/27/2019</t>
  </si>
  <si>
    <t>10/18/2019</t>
  </si>
  <si>
    <t>10/25/2019</t>
  </si>
  <si>
    <t>11/15/2019</t>
  </si>
  <si>
    <t>11/22/2019</t>
  </si>
  <si>
    <t>11/29/2019</t>
  </si>
  <si>
    <t>12/13/2019</t>
  </si>
  <si>
    <t>12/20/2019</t>
  </si>
  <si>
    <t>12/27/2019</t>
  </si>
  <si>
    <t>1/17/2020</t>
  </si>
  <si>
    <t>1/24/2020</t>
  </si>
  <si>
    <t>1/31/2020</t>
  </si>
  <si>
    <t>2/14/2020</t>
  </si>
  <si>
    <t>2/21/2020</t>
  </si>
  <si>
    <t>2/28/2020</t>
  </si>
  <si>
    <t>3/13/2020</t>
  </si>
  <si>
    <t>3/20/2020</t>
  </si>
  <si>
    <t>3/27/2020</t>
  </si>
  <si>
    <t>4/17/2020</t>
  </si>
  <si>
    <t>4/24/2020</t>
  </si>
  <si>
    <t>5/15/2020</t>
  </si>
  <si>
    <t>5/22/2020</t>
  </si>
  <si>
    <t>5/29/2020</t>
  </si>
  <si>
    <t>6/19/2020</t>
  </si>
  <si>
    <t>6/26/2020</t>
  </si>
  <si>
    <t>7/17/2020</t>
  </si>
  <si>
    <t>7/24/2020</t>
  </si>
  <si>
    <t>7/31/2020</t>
  </si>
  <si>
    <t>8/14/2020</t>
  </si>
  <si>
    <t>8/21/2020</t>
  </si>
  <si>
    <t>8/28/2020</t>
  </si>
  <si>
    <t>9/18/2020</t>
  </si>
  <si>
    <t>9/25/2020</t>
  </si>
  <si>
    <t>10/16/2020</t>
  </si>
  <si>
    <t>10/23/2020</t>
  </si>
  <si>
    <t>10/30/2020</t>
  </si>
  <si>
    <t>11/13/2020</t>
  </si>
  <si>
    <t>11/20/2020</t>
  </si>
  <si>
    <t>11/27/2020</t>
  </si>
  <si>
    <t>12/18/2020</t>
  </si>
  <si>
    <t>12/25/2020</t>
  </si>
  <si>
    <t>1/15/2021</t>
  </si>
  <si>
    <t>1/22/2021</t>
  </si>
  <si>
    <t>1/29/2021</t>
  </si>
  <si>
    <t>2/19/2021</t>
  </si>
  <si>
    <t>2/26/2021</t>
  </si>
  <si>
    <t>3/19/2021</t>
  </si>
  <si>
    <t>3/26/2021</t>
  </si>
  <si>
    <t>4/16/2021</t>
  </si>
  <si>
    <t>4/23/2021</t>
  </si>
  <si>
    <t>4/30/2021</t>
  </si>
  <si>
    <t>5/14/2021</t>
  </si>
  <si>
    <t>5/21/2021</t>
  </si>
  <si>
    <t>5/28/2021</t>
  </si>
  <si>
    <t>6/18/2021</t>
  </si>
  <si>
    <t>6/25/2021</t>
  </si>
  <si>
    <t>7/16/2021</t>
  </si>
  <si>
    <t>7/23/2021</t>
  </si>
  <si>
    <t>7/30/2021</t>
  </si>
  <si>
    <t>8/13/2021</t>
  </si>
  <si>
    <t>8/20/2021</t>
  </si>
  <si>
    <t>8/27/2021</t>
  </si>
  <si>
    <t>9/17/2021</t>
  </si>
  <si>
    <t>9/24/2021</t>
  </si>
  <si>
    <t>10/15/2021</t>
  </si>
  <si>
    <t>10/22/2021</t>
  </si>
  <si>
    <t>10/29/2021</t>
  </si>
  <si>
    <t>11/19/2021</t>
  </si>
  <si>
    <t>11/26/2021</t>
  </si>
  <si>
    <t>12/17/2021</t>
  </si>
  <si>
    <t>12/24/2021</t>
  </si>
  <si>
    <t>12/31/2021</t>
  </si>
  <si>
    <t>1/14/2022</t>
  </si>
  <si>
    <t>1/21/2022</t>
  </si>
  <si>
    <t>1/28/2022</t>
  </si>
  <si>
    <t>2/18/2022</t>
  </si>
  <si>
    <t>2/25/2022</t>
  </si>
  <si>
    <t>3/18/2022</t>
  </si>
  <si>
    <t>3/25/2022</t>
  </si>
  <si>
    <t>4/15/2022</t>
  </si>
  <si>
    <t>4/22/2022</t>
  </si>
  <si>
    <t>4/29/2022</t>
  </si>
  <si>
    <t>5/13/2022</t>
  </si>
  <si>
    <t>5/20/2022</t>
  </si>
  <si>
    <t>5/27/2022</t>
  </si>
  <si>
    <t>6/17/2022</t>
  </si>
  <si>
    <t>6/24/2022</t>
  </si>
  <si>
    <t>7/15/2022</t>
  </si>
  <si>
    <t>7/22/2022</t>
  </si>
  <si>
    <t>7/29/2022</t>
  </si>
  <si>
    <t>8/19/2022</t>
  </si>
  <si>
    <t>8/26/2022</t>
  </si>
  <si>
    <t>9/16/2022</t>
  </si>
  <si>
    <t>9/23/2022</t>
  </si>
  <si>
    <t>9/30/2022</t>
  </si>
  <si>
    <t>10/14/2022</t>
  </si>
  <si>
    <t>10/21/2022</t>
  </si>
  <si>
    <t>10/28/2022</t>
  </si>
  <si>
    <t>11/18/2022</t>
  </si>
  <si>
    <t>11/25/2022</t>
  </si>
  <si>
    <t>12/16/2022</t>
  </si>
  <si>
    <t>12/23/2022</t>
  </si>
  <si>
    <t>12/30/2022</t>
  </si>
  <si>
    <t>1/13/2023</t>
  </si>
  <si>
    <t>1/20/2023</t>
  </si>
  <si>
    <t>1/27/2023</t>
  </si>
  <si>
    <t>2/17/2023</t>
  </si>
  <si>
    <t>2/24/2023</t>
  </si>
  <si>
    <t>3/17/2023</t>
  </si>
  <si>
    <t>3/24/2023</t>
  </si>
  <si>
    <t>3/31/2023</t>
  </si>
  <si>
    <t>4/14/2023</t>
  </si>
  <si>
    <t>4/21/2023</t>
  </si>
  <si>
    <t>4/28/2023</t>
  </si>
  <si>
    <t>5/19/2023</t>
  </si>
  <si>
    <t>5/26/2023</t>
  </si>
  <si>
    <t>6/16/2023</t>
  </si>
  <si>
    <t>6/23/2023</t>
  </si>
  <si>
    <t>6/30/2023</t>
  </si>
  <si>
    <t>7/14/2023</t>
  </si>
  <si>
    <t>7/21/2023</t>
  </si>
  <si>
    <t>7/28/2023</t>
  </si>
  <si>
    <t>8/18/2023</t>
  </si>
  <si>
    <t>8/25/2023</t>
  </si>
  <si>
    <t>9/15/2023</t>
  </si>
  <si>
    <t>9/22/2023</t>
  </si>
  <si>
    <t>9/29/2023</t>
  </si>
  <si>
    <t>10/13/2023</t>
  </si>
  <si>
    <t>10/20/2023</t>
  </si>
  <si>
    <t>10/27/2023</t>
  </si>
  <si>
    <t>11/17/2023</t>
  </si>
  <si>
    <t>11/24/2023</t>
  </si>
  <si>
    <t>12/15/2023</t>
  </si>
  <si>
    <t>12/22/2023</t>
  </si>
  <si>
    <t>12/29/2023</t>
  </si>
  <si>
    <t>1/19/2024</t>
  </si>
  <si>
    <t>1/26/2024</t>
  </si>
  <si>
    <t>2/16/2024</t>
  </si>
  <si>
    <t>2/23/2024</t>
  </si>
  <si>
    <t>3/15/2024</t>
  </si>
  <si>
    <t>3/22/2024</t>
  </si>
  <si>
    <t>3/29/2024</t>
  </si>
  <si>
    <t>4/19/2024</t>
  </si>
  <si>
    <t>4/26/2024</t>
  </si>
  <si>
    <t>5/17/2024</t>
  </si>
  <si>
    <t>5/24/2024</t>
  </si>
  <si>
    <t>5/31/2024</t>
  </si>
  <si>
    <t>6/14/2024</t>
  </si>
  <si>
    <t>6/21/2024</t>
  </si>
  <si>
    <t>6/28/2024</t>
  </si>
  <si>
    <t>7/19/2024</t>
  </si>
  <si>
    <t>7/26/2024</t>
  </si>
  <si>
    <t>8/16/2024</t>
  </si>
  <si>
    <t>8/23/2024</t>
  </si>
  <si>
    <t>8/30/2024</t>
  </si>
  <si>
    <t>9/13/2024</t>
  </si>
  <si>
    <t>9/20/2024</t>
  </si>
  <si>
    <t>9/27/2024</t>
  </si>
  <si>
    <t>10/18/2024</t>
  </si>
  <si>
    <t>10/25/2024</t>
  </si>
  <si>
    <t>11/15/2024</t>
  </si>
  <si>
    <t>11/22/2024</t>
  </si>
  <si>
    <t>11/29/2024</t>
  </si>
  <si>
    <t>12/13/2024</t>
  </si>
  <si>
    <t>12/20/2024</t>
  </si>
  <si>
    <t>12/27/2024</t>
  </si>
  <si>
    <t>1/17/2025</t>
  </si>
  <si>
    <t>1/24/2025</t>
  </si>
  <si>
    <t>1/31/2025</t>
  </si>
  <si>
    <t>2/14/2025</t>
  </si>
  <si>
    <t>2/21/2025</t>
  </si>
  <si>
    <t>2/28/2025</t>
  </si>
  <si>
    <t>3/14/2025</t>
  </si>
  <si>
    <t>3/21/2025</t>
  </si>
  <si>
    <t>3/28/2025</t>
  </si>
  <si>
    <t>JB Hi-Fi Ltd (JBH AU) - BBG Adjusted</t>
  </si>
  <si>
    <t xml:space="preserve">    + Sales &amp; Services Revenue</t>
  </si>
  <si>
    <t>IS_SALES_AND_SERVICES_REVENUES</t>
  </si>
  <si>
    <t xml:space="preserve">  - Cost of Revenue</t>
  </si>
  <si>
    <t>IS_COGS_TO_FE_AND_PP_AND_G</t>
  </si>
  <si>
    <t xml:space="preserve">    + Cost of Goods &amp; Services</t>
  </si>
  <si>
    <t>IS_COG_AND_SERVICES_SOLD</t>
  </si>
  <si>
    <t>Gross Profit</t>
  </si>
  <si>
    <t>GROSS_PROFIT</t>
  </si>
  <si>
    <t xml:space="preserve">  + Other Operating Income</t>
  </si>
  <si>
    <t>IS_OTHER_OPER_INC</t>
  </si>
  <si>
    <t xml:space="preserve">  - Operating Expenses</t>
  </si>
  <si>
    <t>IS_OPERATING_EXPN</t>
  </si>
  <si>
    <t xml:space="preserve">    + Selling, General &amp; Admin</t>
  </si>
  <si>
    <t>IS_SGA_EXPENSE</t>
  </si>
  <si>
    <t xml:space="preserve">    + Selling &amp; Marketing</t>
  </si>
  <si>
    <t>IS_SELLING_EXPENSES</t>
  </si>
  <si>
    <t xml:space="preserve">    + General &amp; Administrative</t>
  </si>
  <si>
    <t>IS_GENERAL_AND_ADMINISTRATIVE</t>
  </si>
  <si>
    <t xml:space="preserve">    + Research &amp; Development</t>
  </si>
  <si>
    <t>IS_OPERATING_EXPENSES_RD</t>
  </si>
  <si>
    <t xml:space="preserve">    + Prov For Doubtful Accts</t>
  </si>
  <si>
    <t>IS_PROVISION_DOUBTFUL_ACCOUNTS</t>
  </si>
  <si>
    <t>—</t>
  </si>
  <si>
    <t xml:space="preserve">    + Other Operating Expense</t>
  </si>
  <si>
    <t>IS_OTHER_OPERATING_EXPENSES</t>
  </si>
  <si>
    <t>Operating Income (Loss)</t>
  </si>
  <si>
    <t>IS_OPER_INC</t>
  </si>
  <si>
    <t xml:space="preserve">  - Non-Operating (Income) Loss</t>
  </si>
  <si>
    <t>IS_NONOP_INCOME_LOSS</t>
  </si>
  <si>
    <t xml:space="preserve">    + Interest Expense, Net</t>
  </si>
  <si>
    <t>IS_NET_INTEREST_EXPENSE</t>
  </si>
  <si>
    <t xml:space="preserve">    + Interest Expense</t>
  </si>
  <si>
    <t>IS_INT_EXPENSE</t>
  </si>
  <si>
    <t xml:space="preserve">    - Interest Income</t>
  </si>
  <si>
    <t>IS_INT_INC</t>
  </si>
  <si>
    <t xml:space="preserve">    + Foreign Exch (Gain) Loss</t>
  </si>
  <si>
    <t>IS_FOREIGN_EXCH_LOSS</t>
  </si>
  <si>
    <t xml:space="preserve">    + (Income) Loss from Affiliates</t>
  </si>
  <si>
    <t>INCOME_LOSS_FROM_AFFILIATES</t>
  </si>
  <si>
    <t xml:space="preserve">    + Other Non-Op (Income) Loss</t>
  </si>
  <si>
    <t>IS_OTHER_NON_OPERATING_INC_LOSS</t>
  </si>
  <si>
    <t>Pretax Income (Loss), Adjusted</t>
  </si>
  <si>
    <t>PRETAX_INC</t>
  </si>
  <si>
    <t xml:space="preserve">  - Abnormal Losses (Gains)</t>
  </si>
  <si>
    <t>IS_ABNORMAL_ITEM</t>
  </si>
  <si>
    <t xml:space="preserve">    + Merger/Acquisition Expense</t>
  </si>
  <si>
    <t>IS_MERGER_ACQUISITION_EXPENSE</t>
  </si>
  <si>
    <t xml:space="preserve">    + Disposal of Assets</t>
  </si>
  <si>
    <t>IS_GAIN_LOSS_DISPOSAL_ASSETS</t>
  </si>
  <si>
    <t xml:space="preserve">    + Asset Write-Down</t>
  </si>
  <si>
    <t>IS_IMPAIRMENT_ASSETS</t>
  </si>
  <si>
    <t xml:space="preserve">    + Impairment of Goodwill</t>
  </si>
  <si>
    <t>IS_IMPAIRMENT_GOODWILL_INTANGIBL</t>
  </si>
  <si>
    <t xml:space="preserve">    + Other Abnormal Items</t>
  </si>
  <si>
    <t>IS_OTHER_ONE_TIME_ITEMS</t>
  </si>
  <si>
    <t>Pretax Income (Loss), GAAP</t>
  </si>
  <si>
    <t xml:space="preserve">  - Income Tax Expense (Benefit)</t>
  </si>
  <si>
    <t>IS_INC_TAX_EXP</t>
  </si>
  <si>
    <t xml:space="preserve">    + Current Income Tax</t>
  </si>
  <si>
    <t>IS_CURRENT_INCOME_TAX_BENEFIT</t>
  </si>
  <si>
    <t xml:space="preserve">    + Deferred Income Tax</t>
  </si>
  <si>
    <t>IS_DEFERRED_INCOME_TAX_BENEFIT</t>
  </si>
  <si>
    <t>Income (Loss) from Cont Ops</t>
  </si>
  <si>
    <t>IS_INC_BEF_XO_ITEM</t>
  </si>
  <si>
    <t xml:space="preserve">  - Net Extraordinary Losses (Gains)</t>
  </si>
  <si>
    <t>XO_GL_NET_OF_TAX</t>
  </si>
  <si>
    <t xml:space="preserve">    + Discontinued Operations</t>
  </si>
  <si>
    <t>IS_DISCONTINUED_OPERATIONS</t>
  </si>
  <si>
    <t xml:space="preserve">    + XO &amp; Accounting Changes</t>
  </si>
  <si>
    <t>EXTRAORD_ITEMS_ACCOUNTING_CHANGS</t>
  </si>
  <si>
    <t>Income (Loss) Incl. MI</t>
  </si>
  <si>
    <t>NI_INCLUDING_MINORITY_INT_RATIO</t>
  </si>
  <si>
    <t xml:space="preserve">  - Minority Interest</t>
  </si>
  <si>
    <t>MIN_NONCONTROL_INTEREST_CREDITS</t>
  </si>
  <si>
    <t>Net Income, GAAP</t>
  </si>
  <si>
    <t xml:space="preserve">  - Preferred Dividends</t>
  </si>
  <si>
    <t>IS_TOT_CASH_PFD_DVD</t>
  </si>
  <si>
    <t xml:space="preserve">  - Other Adjustments</t>
  </si>
  <si>
    <t>OTHER_ADJUSTMENTS</t>
  </si>
  <si>
    <t>Net Income Avail to Common, GAAP</t>
  </si>
  <si>
    <t>EARN_FOR_COMMON</t>
  </si>
  <si>
    <t>JB Hi-Fi Ltd (JBH AU) - Standardized</t>
  </si>
  <si>
    <t xml:space="preserve">  + Cash, Cash Equivalents &amp; STI</t>
  </si>
  <si>
    <t>CASH_CASH_EQTY_STI_DETAILED</t>
  </si>
  <si>
    <t xml:space="preserve">    + Cash &amp; Cash Equivalents</t>
  </si>
  <si>
    <t>BS_CASH_NEAR_CASH_ITEM</t>
  </si>
  <si>
    <t xml:space="preserve">    + ST Investments</t>
  </si>
  <si>
    <t>BS_MKT_SEC_OTHER_ST_INVEST</t>
  </si>
  <si>
    <t xml:space="preserve">  + Accounts &amp; Notes Receiv</t>
  </si>
  <si>
    <t>BS_ACCT_NOTE_RCV</t>
  </si>
  <si>
    <t xml:space="preserve">    + Accounts Receivable, Net</t>
  </si>
  <si>
    <t>BS_ACCTS_REC_EXCL_NOTES_REC</t>
  </si>
  <si>
    <t xml:space="preserve">    + Notes Receivable, Net</t>
  </si>
  <si>
    <t>NOTES_RECEIVABLE</t>
  </si>
  <si>
    <t xml:space="preserve">  + Inventories</t>
  </si>
  <si>
    <t>BS_INVENTORIES</t>
  </si>
  <si>
    <t xml:space="preserve">    + Raw Materials</t>
  </si>
  <si>
    <t>INVTRY_RAW_MATERIALS</t>
  </si>
  <si>
    <t xml:space="preserve">    + Work In Process</t>
  </si>
  <si>
    <t>INVTRY_IN_PROGRESS</t>
  </si>
  <si>
    <t xml:space="preserve">    + Finished Goods</t>
  </si>
  <si>
    <t>INVTRY_FINISHED_GOODS</t>
  </si>
  <si>
    <t xml:space="preserve">    + Other Inventory</t>
  </si>
  <si>
    <t>BS_OTHER_INV</t>
  </si>
  <si>
    <t xml:space="preserve">  + Other ST Assets</t>
  </si>
  <si>
    <t>OTHER_CURRENT_ASSETS_DETAILED</t>
  </si>
  <si>
    <t xml:space="preserve">    + Prepaid Expenses</t>
  </si>
  <si>
    <t>BS_PREPAY</t>
  </si>
  <si>
    <t xml:space="preserve">    + Derivative &amp; Hedging Assets</t>
  </si>
  <si>
    <t>BS_DERIV_HEDGING_ASST_ST</t>
  </si>
  <si>
    <t xml:space="preserve">    + Misc ST Assets</t>
  </si>
  <si>
    <t>BS_OTHER_CUR_ASSET_LESS_PREPAY</t>
  </si>
  <si>
    <t>Total Current Assets</t>
  </si>
  <si>
    <t>BS_CUR_ASSET_REPORT</t>
  </si>
  <si>
    <t xml:space="preserve">  + Property, Plant &amp; Equip, Net</t>
  </si>
  <si>
    <t xml:space="preserve">    + Property, Plant &amp; Equip</t>
  </si>
  <si>
    <t>BS_GROSS_FIX_ASSET</t>
  </si>
  <si>
    <t xml:space="preserve">    - Accumulated Depreciation</t>
  </si>
  <si>
    <t>BS_ACCUM_DEPR</t>
  </si>
  <si>
    <t xml:space="preserve">  + LT Investments &amp; Receivables</t>
  </si>
  <si>
    <t>BS_LT_INVEST</t>
  </si>
  <si>
    <t xml:space="preserve">  + Other LT Assets</t>
  </si>
  <si>
    <t>BS_OTHER_ASSETS_DEF_CHRG_OTHER</t>
  </si>
  <si>
    <t xml:space="preserve">    + Total Intangible Assets</t>
  </si>
  <si>
    <t>BS_DISCLOSED_INTANGIBLES</t>
  </si>
  <si>
    <t xml:space="preserve">    + Goodwill</t>
  </si>
  <si>
    <t>BS_GOODWILL</t>
  </si>
  <si>
    <t xml:space="preserve">    + Other Intangible Assets</t>
  </si>
  <si>
    <t>OTHER_INTANGIBLE_ASSETS_DETAILED</t>
  </si>
  <si>
    <t xml:space="preserve">    + Prepaid Expense</t>
  </si>
  <si>
    <t>BS_PREPAID_EXPENSE_LT</t>
  </si>
  <si>
    <t xml:space="preserve">    + Deferred Tax Assets</t>
  </si>
  <si>
    <t>BS_DEFERRED_TAX_ASSETS_LT</t>
  </si>
  <si>
    <t>BS_DERIV_HEDGING_ASST_LT</t>
  </si>
  <si>
    <t xml:space="preserve">    + Investments in Affiliates</t>
  </si>
  <si>
    <t>BS_INVEST_IN_ASSOC_CO</t>
  </si>
  <si>
    <t xml:space="preserve">    + Misc LT Assets</t>
  </si>
  <si>
    <t>OTHER_NONCURRENT_ASSETS_DETAILED</t>
  </si>
  <si>
    <t>Total Noncurrent Assets</t>
  </si>
  <si>
    <t>BS_TOT_NON_CUR_ASSET</t>
  </si>
  <si>
    <t>Liabilities &amp; Shareholders' Equity</t>
  </si>
  <si>
    <t xml:space="preserve">  + Payables &amp; Accruals</t>
  </si>
  <si>
    <t>ACCT_PAYABLE_ACCRUALS_DETAILED</t>
  </si>
  <si>
    <t xml:space="preserve">    + Accounts Payable</t>
  </si>
  <si>
    <t>BS_ACCT_PAYABLE</t>
  </si>
  <si>
    <t xml:space="preserve">    + Accrued Taxes</t>
  </si>
  <si>
    <t>BS_TAXES_PAYABLE</t>
  </si>
  <si>
    <t xml:space="preserve">    + Other Payables &amp; Accruals</t>
  </si>
  <si>
    <t>BS_ACCRUAL</t>
  </si>
  <si>
    <t xml:space="preserve">  + ST Debt</t>
  </si>
  <si>
    <t>BS_ST_BORROW</t>
  </si>
  <si>
    <t xml:space="preserve">    + ST Borrowings</t>
  </si>
  <si>
    <t>SHORT_TERM_DEBT_DETAILED</t>
  </si>
  <si>
    <t xml:space="preserve">    + ST Lease Liabilities</t>
  </si>
  <si>
    <t>ST_CAPITALIZED_LEASE_LIABILITIES</t>
  </si>
  <si>
    <t xml:space="preserve">      + ST Finance Leases</t>
  </si>
  <si>
    <t>ST_CAPITAL_LEASE_OBLIGATIONS</t>
  </si>
  <si>
    <t xml:space="preserve">  + Other ST Liabilities</t>
  </si>
  <si>
    <t>OTHER_CURRENT_LIABS_SUB_DETAILED</t>
  </si>
  <si>
    <t xml:space="preserve">    + Deferred Revenue</t>
  </si>
  <si>
    <t>ST_DEFERRED_REVENUE</t>
  </si>
  <si>
    <t xml:space="preserve">    + Derivatives &amp; Hedging</t>
  </si>
  <si>
    <t>BS_DERIV_HEDGING_LIAB_ST</t>
  </si>
  <si>
    <t xml:space="preserve">    + Misc ST Liabilities</t>
  </si>
  <si>
    <t>OTHER_CURRENT_LIABS_DETAILED</t>
  </si>
  <si>
    <t>Total Current Liabilities</t>
  </si>
  <si>
    <t>BS_CUR_LIAB</t>
  </si>
  <si>
    <t xml:space="preserve">  + LT Debt</t>
  </si>
  <si>
    <t>BS_LT_BORROW</t>
  </si>
  <si>
    <t xml:space="preserve">    + LT Borrowings</t>
  </si>
  <si>
    <t>LONG_TERM_BORROWINGS_DETAILED</t>
  </si>
  <si>
    <t xml:space="preserve">    + LT Lease Liabilities</t>
  </si>
  <si>
    <t>LT_CAPITALIZED_LEASE_LIABILITIES</t>
  </si>
  <si>
    <t xml:space="preserve">      + LT Finance Leases</t>
  </si>
  <si>
    <t>LT_CAPITAL_LEASE_OBLIGATIONS</t>
  </si>
  <si>
    <t xml:space="preserve">  + Other LT Liabilities</t>
  </si>
  <si>
    <t>OTHER_NONCUR_LIABS_SUB_DETAILED</t>
  </si>
  <si>
    <t xml:space="preserve">    + Accrued Liabilities</t>
  </si>
  <si>
    <t>BS_ACCRUED_LIABILITIES</t>
  </si>
  <si>
    <t xml:space="preserve">    + Pension Liabilities</t>
  </si>
  <si>
    <t>PENSION_LIABILITIES</t>
  </si>
  <si>
    <t xml:space="preserve">    + Pensions</t>
  </si>
  <si>
    <t>BS_PENSIONS_LT_LIABS</t>
  </si>
  <si>
    <t xml:space="preserve">    + Other Post-Ret Benefits</t>
  </si>
  <si>
    <t>BS_OPRB_LT_LIABS</t>
  </si>
  <si>
    <t xml:space="preserve">    + Deferred Compensation</t>
  </si>
  <si>
    <t>BS_DEFERRED_COMP_LT_LIABS</t>
  </si>
  <si>
    <t>LT_DEFERRED_REVENUE</t>
  </si>
  <si>
    <t xml:space="preserve">    + Deferred Tax Liabilities</t>
  </si>
  <si>
    <t>BS_DEFERRED_TAX_LIABILITIES_LT</t>
  </si>
  <si>
    <t>BS_DERIV_HEDGING_LIAB_LT</t>
  </si>
  <si>
    <t xml:space="preserve">    + Misc LT Liabilities</t>
  </si>
  <si>
    <t>OTHER_NONCURRENT_LIABS_DETAILED</t>
  </si>
  <si>
    <t>Total Noncurrent Liabilities</t>
  </si>
  <si>
    <t>NON_CUR_LIAB</t>
  </si>
  <si>
    <t xml:space="preserve">  + Preferred Equity and Hybrid Capital</t>
  </si>
  <si>
    <t>PFD_EQTY_HYBRID_CAPITAL</t>
  </si>
  <si>
    <t xml:space="preserve">  + Share Capital &amp; APIC</t>
  </si>
  <si>
    <t>BS_SH_CAP_AND_APIC</t>
  </si>
  <si>
    <t xml:space="preserve">  - Treasury Stock</t>
  </si>
  <si>
    <t>BS_AMT_OF_TSY_STOCK</t>
  </si>
  <si>
    <t xml:space="preserve">  + Retained Earnings</t>
  </si>
  <si>
    <t>BS_PURE_RETAINED_EARNINGS</t>
  </si>
  <si>
    <t xml:space="preserve">  + Other Equity</t>
  </si>
  <si>
    <t>OTHER_EQUITY_RATIO</t>
  </si>
  <si>
    <t>Equity Before Minority Interest</t>
  </si>
  <si>
    <t>EQTY_BEF_MINORITY_INT_DETAILED</t>
  </si>
  <si>
    <t xml:space="preserve">  + Minority/Non Controlling Interest</t>
  </si>
  <si>
    <t>MINORITY_NONCONTROLLING_INTEREST</t>
  </si>
  <si>
    <t>Total Liabilities &amp; Equity</t>
  </si>
  <si>
    <t>TOT_LIAB_AND_EQY</t>
  </si>
  <si>
    <t>Reference Items</t>
  </si>
  <si>
    <t>Number of Treasury Shares</t>
  </si>
  <si>
    <t>BS_NUM_OF_TSY_SH</t>
  </si>
  <si>
    <t>Pension Obligations</t>
  </si>
  <si>
    <t>BS_PENSION_RSRV</t>
  </si>
  <si>
    <t>Future Minimum Operating Lease Obligations</t>
  </si>
  <si>
    <t>BS_FUTURE_MIN_OPER_LEASE_OBLIG</t>
  </si>
  <si>
    <t>Capital Leases - Total</t>
  </si>
  <si>
    <t>BS_TOTAL_CAPITAL_LEASES</t>
  </si>
  <si>
    <t>Number Of Shareholders</t>
  </si>
  <si>
    <t>BS_NUM_OF_SHAREHOLDERS</t>
  </si>
  <si>
    <t>Options Granted During Period</t>
  </si>
  <si>
    <t>BS_OPTIONS_GRANTED</t>
  </si>
  <si>
    <t>Options Outstanding at Period End</t>
  </si>
  <si>
    <t>BS_OPTIONS_OUTSTANDING</t>
  </si>
  <si>
    <t>Net Debt</t>
  </si>
  <si>
    <t>NET_DEBT</t>
  </si>
  <si>
    <t>Net Debt to Equity</t>
  </si>
  <si>
    <t>NET_DEBT_TO_SHRHLDR_EQTY</t>
  </si>
  <si>
    <t>Tangible Common Equity Ratio</t>
  </si>
  <si>
    <t>TCE_RATIO</t>
  </si>
  <si>
    <t>Current Ratio</t>
  </si>
  <si>
    <t>CUR_RATIO</t>
  </si>
  <si>
    <t>Cash Conversion Cycle</t>
  </si>
  <si>
    <t>CASH_CONVERSION_CYCLE</t>
  </si>
  <si>
    <t>Cash from Operating Activities</t>
  </si>
  <si>
    <t xml:space="preserve">  + Net Income</t>
  </si>
  <si>
    <t>CF_NET_INC</t>
  </si>
  <si>
    <t xml:space="preserve">  + Depreciation &amp; Amortization</t>
  </si>
  <si>
    <t>CF_DEPR_AMORT</t>
  </si>
  <si>
    <t xml:space="preserve">  + Non-Cash Items</t>
  </si>
  <si>
    <t>NON_CASH_ITEMS_DETAILED</t>
  </si>
  <si>
    <t xml:space="preserve">    + Stock-Based Compensation</t>
  </si>
  <si>
    <t>CF_STOCK_BASED_COMPENSATION</t>
  </si>
  <si>
    <t xml:space="preserve">    + Deferred Income Taxes</t>
  </si>
  <si>
    <t>CF_DEF_INC_TAX</t>
  </si>
  <si>
    <t xml:space="preserve">    + Other Non-Cash Adj</t>
  </si>
  <si>
    <t>OTHER_NON_CASH_ADJ_LESS_DETAILED</t>
  </si>
  <si>
    <t xml:space="preserve">  + Chg in Non-Cash Work Cap</t>
  </si>
  <si>
    <t>CF_CHNG_NON_CASH_WORK_CAP</t>
  </si>
  <si>
    <t xml:space="preserve">    + (Inc) Dec in Inventories</t>
  </si>
  <si>
    <t>CF_CHANGE_IN_INVENTORIES</t>
  </si>
  <si>
    <t xml:space="preserve">    + Inc (Dec) in Other</t>
  </si>
  <si>
    <t>INC_DEC_IN_OT_OP_AST_LIAB_DETAIL</t>
  </si>
  <si>
    <t xml:space="preserve">  + Net Cash From Disc Ops</t>
  </si>
  <si>
    <t>CF_NET_CASH_DISCONT_OPS_OPER</t>
  </si>
  <si>
    <t>Cash from Investing Activities</t>
  </si>
  <si>
    <t xml:space="preserve">  + Change in Fixed &amp; Intang</t>
  </si>
  <si>
    <t>FIXED_INTANG_ASST_CHANGE</t>
  </si>
  <si>
    <t xml:space="preserve">    + Disp in Fixed &amp; Intang</t>
  </si>
  <si>
    <t>DISPOSAL_OF_FIXED_INTANG</t>
  </si>
  <si>
    <t xml:space="preserve">    + Disp of Fixed Prod Assets</t>
  </si>
  <si>
    <t>CF_DISPOSAL_OF_FIXED_PROD_ASSETS</t>
  </si>
  <si>
    <t xml:space="preserve">    + Disp of Intangible Assets</t>
  </si>
  <si>
    <t>CF_DISPOSAL_OF_INTANGIBLE_ASSETS</t>
  </si>
  <si>
    <t xml:space="preserve">    + Acq of Fixed &amp; Intang</t>
  </si>
  <si>
    <t>ACQUIS_OF_FIXED_INTANG</t>
  </si>
  <si>
    <t xml:space="preserve">    + Acq of Fixed Prod Assets</t>
  </si>
  <si>
    <t>CF_PURCHASE_OF_FIXED_PROD_ASSETS</t>
  </si>
  <si>
    <t xml:space="preserve">    + Acq of Intangible Assets</t>
  </si>
  <si>
    <t>CF_ACQUISITION_OF_INTANG_ASSETS</t>
  </si>
  <si>
    <t xml:space="preserve">  + Net Change in LT Investment</t>
  </si>
  <si>
    <t>NET_CHG_IN_LT_INVEST_DETAILED</t>
  </si>
  <si>
    <t xml:space="preserve">    + Dec in LT Investment</t>
  </si>
  <si>
    <t>CF_DECR_INVEST</t>
  </si>
  <si>
    <t xml:space="preserve">    + Inc in LT Investment</t>
  </si>
  <si>
    <t>CF_INCR_INVEST</t>
  </si>
  <si>
    <t xml:space="preserve">  + Net Cash From Acq &amp; Div</t>
  </si>
  <si>
    <t>CF_NT_CSH_RCVD_PD_FOR_ACQUIS_DIV</t>
  </si>
  <si>
    <t xml:space="preserve">    + Cash from Divestitures</t>
  </si>
  <si>
    <t>CF_CASH_FOR_DIVESTITURES</t>
  </si>
  <si>
    <t xml:space="preserve">    + Cash for Acq of Subs</t>
  </si>
  <si>
    <t>CF_CASH_FOR_ACQUIS_SUBSIDIARIES</t>
  </si>
  <si>
    <t xml:space="preserve">    + Cash for JVs</t>
  </si>
  <si>
    <t>CF_CASH_FOR_JOINT_VENTURES_ASSOC</t>
  </si>
  <si>
    <t xml:space="preserve">  + Other Investing Activities</t>
  </si>
  <si>
    <t>OTHER_INVESTING_ACT_DETAILED</t>
  </si>
  <si>
    <t>CF_NET_CASH_DISCONTINUED_OPS_INV</t>
  </si>
  <si>
    <t>CF_CASH_FROM_INV_ACT</t>
  </si>
  <si>
    <t>Cash from Financing Activities</t>
  </si>
  <si>
    <t xml:space="preserve">  + Dividends Paid</t>
  </si>
  <si>
    <t>CF_DVD_PAID</t>
  </si>
  <si>
    <t xml:space="preserve">  + Cash From (Repayment) Debt</t>
  </si>
  <si>
    <t>PROC_FR_REPAYMNTS_BOR_DETAILED</t>
  </si>
  <si>
    <t xml:space="preserve">    + Cash From (Repay) ST Debt</t>
  </si>
  <si>
    <t>CF_NET_CHG_ST_DEBT_CPTL_LEAS</t>
  </si>
  <si>
    <t xml:space="preserve">    + Cash From LT Debt</t>
  </si>
  <si>
    <t>CF_LT_DEBT_CAP_LEAS_PROCEEDS</t>
  </si>
  <si>
    <t xml:space="preserve">    + Repayments of LT Debt</t>
  </si>
  <si>
    <t>CF_LT_DEBT_CAP_LEAS_PAYMENT</t>
  </si>
  <si>
    <t xml:space="preserve">  + Cash (Repurchase) of Equity</t>
  </si>
  <si>
    <t>PROC_FR_REPURCH_EQTY_DETAILED</t>
  </si>
  <si>
    <t xml:space="preserve">    + Increase in Capital Stock</t>
  </si>
  <si>
    <t>CF_INCR_CAP_STOCK</t>
  </si>
  <si>
    <t xml:space="preserve">    + Decrease in Capital Stock</t>
  </si>
  <si>
    <t>CF_DECR_CAP_STOCK</t>
  </si>
  <si>
    <t xml:space="preserve">  + Other Financing Activities</t>
  </si>
  <si>
    <t>OTHER_FIN_AND_DEC_CAP</t>
  </si>
  <si>
    <t>CF_NET_CASH_DISCONTINUED_OPS_FIN</t>
  </si>
  <si>
    <t>CFF_ACTIVITIES_DETAILED</t>
  </si>
  <si>
    <t xml:space="preserve">  Effect of Foreign Exchange Rates</t>
  </si>
  <si>
    <t>CF_EFFECT_FOREIGN_EXCHANGES</t>
  </si>
  <si>
    <t>Cash Paid for Taxes</t>
  </si>
  <si>
    <t>CF_CASH_PAID_FOR_TAX</t>
  </si>
  <si>
    <t>Cash Paid for Interest</t>
  </si>
  <si>
    <t>CF_ACT_CASH_PAID_FOR_INT_DEBT</t>
  </si>
  <si>
    <t>Interest Received</t>
  </si>
  <si>
    <t>CF_INTEREST_RECEIVED</t>
  </si>
  <si>
    <t>Net Cash Paid for Acquisitions</t>
  </si>
  <si>
    <t>CF_NET_CASH_PAID_FOR_AQUIS</t>
  </si>
  <si>
    <t>Free Cash Flow to Firm</t>
  </si>
  <si>
    <t>CF_FREE_CASH_FLOW_FIRM</t>
  </si>
  <si>
    <t>Free Cash Flow to Equity</t>
  </si>
  <si>
    <t>FREE_CASH_FLOW_EQUITY</t>
  </si>
  <si>
    <t>Price to Free Cash Flow</t>
  </si>
  <si>
    <t>PX_TO_FREE_CASH_FLOW</t>
  </si>
  <si>
    <t>Cash Flow to Net Income</t>
  </si>
  <si>
    <t>CASH_FLOW_TO_NET_INC</t>
  </si>
  <si>
    <t>JB Hi-Fi Ltd (JBH AU) - Cash Flows (Forecasts)</t>
    <phoneticPr fontId="14" type="noConversion"/>
  </si>
  <si>
    <t>FY 2025 (Forecast)</t>
    <phoneticPr fontId="14" type="noConversion"/>
  </si>
  <si>
    <t>FY 2026 (Forecast)</t>
  </si>
  <si>
    <t>FY 2027 (Forecast)</t>
  </si>
  <si>
    <t>FY 2028 (Forecast)</t>
  </si>
  <si>
    <t>FY 2029 (Forecast)</t>
  </si>
  <si>
    <t>06/30/2027</t>
  </si>
  <si>
    <t>06/30/2028</t>
  </si>
  <si>
    <t>06/30/2029</t>
  </si>
  <si>
    <t xml:space="preserve">  + Change in Fixed &amp; Intangible</t>
    <phoneticPr fontId="14" type="noConversion"/>
  </si>
  <si>
    <t>Total Cash Dividend</t>
    <phoneticPr fontId="14" type="noConversion"/>
  </si>
  <si>
    <t>Dvd Payout Ratio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</si>
  <si>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</si>
  <si>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</si>
  <si>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</si>
  <si>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</si>
  <si>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</si>
  <si>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</si>
  <si>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</si>
  <si>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</si>
  <si>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</si>
  <si>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</si>
  <si>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</si>
  <si>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</si>
  <si>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</si>
  <si>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 xml:space="preserve">Effective Tax Rate </t>
  </si>
  <si>
    <t>Depreciation Expeses</t>
  </si>
  <si>
    <t>Δdepreciation Expenses</t>
  </si>
  <si>
    <t>Capital Asset Expeditures</t>
  </si>
  <si>
    <t>ΔCapital Asset Expeditures</t>
  </si>
  <si>
    <t>EBIT ( Operating Income)</t>
  </si>
  <si>
    <t>ΔEBIT</t>
  </si>
  <si>
    <t>Total currnet Liabilities</t>
  </si>
  <si>
    <t>Working Capital</t>
  </si>
  <si>
    <t>ΔWC</t>
  </si>
  <si>
    <t xml:space="preserve">Average Non Cahs Items </t>
  </si>
  <si>
    <t xml:space="preserve">CAGR for Assets </t>
  </si>
  <si>
    <t>CAGR for Liabilities</t>
  </si>
  <si>
    <t xml:space="preserve">Growth Rate for Current Asset </t>
  </si>
  <si>
    <t xml:space="preserve">Average Rate  </t>
  </si>
  <si>
    <t>Growth Rate for Current Liabilities</t>
  </si>
  <si>
    <t>Growth Rate for CAPEX</t>
  </si>
  <si>
    <t>Australian Government 10 year bond   Average Rate from 2-Jan-2025 ~ 09-Apr-2025</t>
  </si>
  <si>
    <t>JB Hi-Fi Beta</t>
  </si>
  <si>
    <t>WACC</t>
  </si>
  <si>
    <t>Average WACC %</t>
  </si>
  <si>
    <t>Growth Rate WACC</t>
  </si>
  <si>
    <t>Average Growth Rate For WACC</t>
  </si>
  <si>
    <t>Discounted FCFF</t>
  </si>
  <si>
    <t>SUM Discounted FCFF</t>
  </si>
  <si>
    <t>Terminal Growth Rate</t>
  </si>
  <si>
    <t xml:space="preserve">Terminal Value </t>
  </si>
  <si>
    <t>Discounted to 2024</t>
  </si>
  <si>
    <t>Total Value ( Sum discounted FCFF + 2029 Discounted to 2024)</t>
  </si>
  <si>
    <t xml:space="preserve">Equity Value </t>
  </si>
  <si>
    <t xml:space="preserve">Shares Outstanding </t>
  </si>
  <si>
    <t>Intrinsic Value per Share</t>
  </si>
  <si>
    <t>JB Hi-Fi Ltd (JBH AU) - Profitability</t>
  </si>
  <si>
    <t>Returns</t>
  </si>
  <si>
    <t>Return on Common Equity</t>
  </si>
  <si>
    <t>RETURN_COM_EQY</t>
  </si>
  <si>
    <t>Return on Assets</t>
  </si>
  <si>
    <t>RETURN_ON_ASSET</t>
  </si>
  <si>
    <t>Return on Capital</t>
  </si>
  <si>
    <t>RETURN_ON_CAP</t>
  </si>
  <si>
    <t>Return on Invested Capital</t>
  </si>
  <si>
    <t>RETURN_ON_INV_CAPITAL</t>
  </si>
  <si>
    <t>Margins</t>
  </si>
  <si>
    <t>Gross Margin</t>
  </si>
  <si>
    <t>GROSS_MARGIN</t>
  </si>
  <si>
    <t>EBITDA Margin</t>
  </si>
  <si>
    <t>EBITDA_TO_REVENUE</t>
  </si>
  <si>
    <t>Operating Margin</t>
  </si>
  <si>
    <t>OPER_MARGIN</t>
  </si>
  <si>
    <t>Incremental Operating Margin</t>
  </si>
  <si>
    <t>INCREMENTAL_OPERATING_MARGIN</t>
  </si>
  <si>
    <t>Pretax Margin</t>
  </si>
  <si>
    <t>PRETAX_INC_TO_NET_SALES</t>
  </si>
  <si>
    <t>Income before XO Margin</t>
  </si>
  <si>
    <t>INC_BEF_XO_ITEMS_TO_NET_SALES</t>
  </si>
  <si>
    <t>Net Income Margin</t>
  </si>
  <si>
    <t>PROF_MARGIN</t>
  </si>
  <si>
    <t>Net Income to Common Margin</t>
  </si>
  <si>
    <t>NET_INCOME_TO_COMMON_MARGIN</t>
  </si>
  <si>
    <t>Additional</t>
  </si>
  <si>
    <t>Effective Tax Rate</t>
  </si>
  <si>
    <t>EFF_TAX_RATE</t>
  </si>
  <si>
    <t>Sustainable Growth Rate</t>
  </si>
  <si>
    <t>SUSTAIN_GROWTH_RT</t>
  </si>
  <si>
    <t>JB Hi-Fi Ltd (JBH AU) - CAPEX &amp; Depreciation</t>
  </si>
  <si>
    <t>Depreciation Expenses</t>
  </si>
  <si>
    <t>IS_DEPR_EXP</t>
  </si>
  <si>
    <t>Depr Exp / Net Sales</t>
  </si>
  <si>
    <t>DEPR_EXP_TO_NET_SALES</t>
  </si>
  <si>
    <t>Depr Exp / Net Fixed Assets</t>
  </si>
  <si>
    <t>DEPR_EXP_TO_NET_FIX_ASSET</t>
  </si>
  <si>
    <t>Accum Depr / Total Assets</t>
  </si>
  <si>
    <t>ACCUM_DEPR_TO_TOT_ASSET</t>
  </si>
  <si>
    <t>Accum Depr / Gross Fixed Assets</t>
  </si>
  <si>
    <t>ACCUM_DEPR_TO_GROSS_FA</t>
  </si>
  <si>
    <t>Capital Expenditures</t>
  </si>
  <si>
    <t>CF_CAP_EXPEND_PRPTY_ADD</t>
  </si>
  <si>
    <t>CAPEX/Sales</t>
  </si>
  <si>
    <t>CAP_EXPEND_TO_SALES</t>
  </si>
  <si>
    <t>CAPEX/Total Assets</t>
  </si>
  <si>
    <t>CAP_EXPEND_TO_TOT_ASSET</t>
  </si>
  <si>
    <t>Capital Expend / Depr Exp</t>
  </si>
  <si>
    <t>CAPEX_TO_DEPR_EXPN_RATIO</t>
  </si>
  <si>
    <t>CAPEX to Depreciation Expense 5 Year Average</t>
  </si>
  <si>
    <t>5Y_AVG_CAPEX_TO_DEPR_EXPN</t>
  </si>
  <si>
    <t>Total Capital Expenditures - 1 Yr Growth</t>
  </si>
  <si>
    <t>TOT_CAP_EXPEND_GROWTH</t>
  </si>
  <si>
    <t>Average Age of Assets in Years</t>
  </si>
  <si>
    <t>AVG_AGE_OF_ASSETS_IN_YEARS</t>
  </si>
  <si>
    <t>F2 CAPITAL MARKET YIELDS – GOVERNMENT BONDS</t>
  </si>
  <si>
    <t/>
  </si>
  <si>
    <t>Title</t>
  </si>
  <si>
    <r>
      <t xml:space="preserve">Australian Government </t>
    </r>
    <r>
      <rPr>
        <b/>
        <sz val="9"/>
        <rFont val="Arial"/>
        <family val="2"/>
      </rPr>
      <t>2 year bond</t>
    </r>
    <phoneticPr fontId="14" type="noConversion"/>
  </si>
  <si>
    <t>Australian Government 3 year bond</t>
  </si>
  <si>
    <t>Australian Government 5 year bond</t>
  </si>
  <si>
    <t>Australian Government 10 year bond</t>
  </si>
  <si>
    <t>Description</t>
  </si>
  <si>
    <r>
      <t xml:space="preserve">Yields on Australian government bonds, interpolated, </t>
    </r>
    <r>
      <rPr>
        <b/>
        <sz val="9"/>
        <rFont val="Arial"/>
        <family val="2"/>
      </rPr>
      <t>2 years maturity</t>
    </r>
    <phoneticPr fontId="14" type="noConversion"/>
  </si>
  <si>
    <t>Yields on Australian government bonds, interpolated, 3 years maturity</t>
  </si>
  <si>
    <t>Yields on Australian government bonds, interpolated, 5 years maturity</t>
  </si>
  <si>
    <t>Yields on Australian government bonds, interpolated, 10 years maturity</t>
  </si>
  <si>
    <t>Frequency</t>
  </si>
  <si>
    <t>Daily</t>
  </si>
  <si>
    <t>Type</t>
  </si>
  <si>
    <t>Original</t>
  </si>
  <si>
    <t>Units</t>
  </si>
  <si>
    <t>Per cent per annum</t>
  </si>
  <si>
    <t>Source</t>
  </si>
  <si>
    <t>RBA</t>
  </si>
  <si>
    <t>Publication date</t>
  </si>
  <si>
    <t>11-Apr-2025</t>
  </si>
  <si>
    <t>Series ID</t>
  </si>
  <si>
    <t>FCMYGBAG2D</t>
  </si>
  <si>
    <t>FCMYGBAG3D</t>
  </si>
  <si>
    <t>FCMYGBAG5D</t>
  </si>
  <si>
    <t>FCMYGBAG10D</t>
  </si>
  <si>
    <t>02-Jan-2019</t>
  </si>
  <si>
    <t>03-Jan-2019</t>
  </si>
  <si>
    <t>04-Jan-2019</t>
  </si>
  <si>
    <t>07-Jan-2019</t>
  </si>
  <si>
    <t>08-Jan-2019</t>
  </si>
  <si>
    <t>09-Jan-2019</t>
  </si>
  <si>
    <t>10-Jan-2019</t>
  </si>
  <si>
    <t>14-Jan-2019</t>
  </si>
  <si>
    <t>15-Jan-2019</t>
  </si>
  <si>
    <t>16-Jan-2019</t>
  </si>
  <si>
    <t>17-Jan-2019</t>
  </si>
  <si>
    <t>18-Jan-2019</t>
  </si>
  <si>
    <t>21-Jan-2019</t>
  </si>
  <si>
    <t>22-Jan-2019</t>
  </si>
  <si>
    <t>23-Jan-2019</t>
  </si>
  <si>
    <t>24-Jan-2019</t>
  </si>
  <si>
    <t>25-Jan-2019</t>
  </si>
  <si>
    <t>29-Jan-2019</t>
  </si>
  <si>
    <t>30-Jan-2019</t>
  </si>
  <si>
    <t>31-Jan-2019</t>
  </si>
  <si>
    <t>01-Feb-2019</t>
  </si>
  <si>
    <t>04-Feb-2019</t>
  </si>
  <si>
    <t>05-Feb-2019</t>
  </si>
  <si>
    <t>06-Feb-2019</t>
  </si>
  <si>
    <t>07-Feb-2019</t>
  </si>
  <si>
    <t>08-Feb-2019</t>
  </si>
  <si>
    <t>11-Feb-2019</t>
  </si>
  <si>
    <t>12-Feb-2019</t>
  </si>
  <si>
    <t>13-Feb-2019</t>
  </si>
  <si>
    <t>14-Feb-2019</t>
  </si>
  <si>
    <t>15-Feb-2019</t>
  </si>
  <si>
    <t>18-Feb-2019</t>
  </si>
  <si>
    <t>19-Feb-2019</t>
  </si>
  <si>
    <t>20-Feb-2019</t>
  </si>
  <si>
    <t>21-Feb-2019</t>
  </si>
  <si>
    <t>22-Feb-2019</t>
  </si>
  <si>
    <t>25-Feb-2019</t>
  </si>
  <si>
    <t>26-Feb-2019</t>
  </si>
  <si>
    <t>27-Feb-2019</t>
  </si>
  <si>
    <t>28-Feb-2019</t>
  </si>
  <si>
    <t>01-Mar-2019</t>
  </si>
  <si>
    <t>04-Mar-2019</t>
  </si>
  <si>
    <t>05-Mar-2019</t>
  </si>
  <si>
    <t>06-Mar-2019</t>
  </si>
  <si>
    <t>07-Mar-2019</t>
  </si>
  <si>
    <t>08-Mar-2019</t>
  </si>
  <si>
    <t>11-Mar-2019</t>
  </si>
  <si>
    <t>12-Mar-2019</t>
  </si>
  <si>
    <t>13-Mar-2019</t>
  </si>
  <si>
    <t>14-Mar-2019</t>
  </si>
  <si>
    <t>15-Mar-2019</t>
  </si>
  <si>
    <t>18-Mar-2019</t>
  </si>
  <si>
    <t>19-Mar-2019</t>
  </si>
  <si>
    <t>20-Mar-2019</t>
  </si>
  <si>
    <t>21-Mar-2019</t>
  </si>
  <si>
    <t>22-Mar-2019</t>
  </si>
  <si>
    <t>25-Mar-2019</t>
  </si>
  <si>
    <t>26-Mar-2019</t>
  </si>
  <si>
    <t>27-Mar-2019</t>
  </si>
  <si>
    <t>28-Mar-2019</t>
  </si>
  <si>
    <t>29-Mar-2019</t>
  </si>
  <si>
    <t>01-Apr-2019</t>
  </si>
  <si>
    <t>02-Apr-2019</t>
  </si>
  <si>
    <t>03-Apr-2019</t>
  </si>
  <si>
    <t>04-Apr-2019</t>
  </si>
  <si>
    <t>05-Apr-2019</t>
  </si>
  <si>
    <t>08-Apr-2019</t>
  </si>
  <si>
    <t>09-Apr-2019</t>
  </si>
  <si>
    <t>10-Apr-2019</t>
  </si>
  <si>
    <t>11-Apr-2019</t>
  </si>
  <si>
    <t>12-Apr-2019</t>
  </si>
  <si>
    <t>15-Apr-2019</t>
  </si>
  <si>
    <t>16-Apr-2019</t>
  </si>
  <si>
    <t>17-Apr-2019</t>
  </si>
  <si>
    <t>18-Apr-2019</t>
  </si>
  <si>
    <t>23-Apr-2019</t>
  </si>
  <si>
    <t>24-Apr-2019</t>
  </si>
  <si>
    <t>26-Apr-2019</t>
  </si>
  <si>
    <t>29-Apr-2019</t>
  </si>
  <si>
    <t>30-Apr-2019</t>
  </si>
  <si>
    <t>01-May-2019</t>
  </si>
  <si>
    <t>02-May-2019</t>
  </si>
  <si>
    <t>03-May-2019</t>
  </si>
  <si>
    <t>06-May-2019</t>
  </si>
  <si>
    <t>07-May-2019</t>
  </si>
  <si>
    <t>08-May-2019</t>
  </si>
  <si>
    <t>09-May-2019</t>
  </si>
  <si>
    <t>10-May-2019</t>
  </si>
  <si>
    <t>13-May-2019</t>
  </si>
  <si>
    <t>14-May-2019</t>
  </si>
  <si>
    <t>15-May-2019</t>
  </si>
  <si>
    <t>16-May-2019</t>
  </si>
  <si>
    <t>17-May-2019</t>
  </si>
  <si>
    <t>20-May-2019</t>
  </si>
  <si>
    <t>21-May-2019</t>
  </si>
  <si>
    <t>22-May-2019</t>
  </si>
  <si>
    <t>23-May-2019</t>
  </si>
  <si>
    <t>24-May-2019</t>
  </si>
  <si>
    <t>27-May-2019</t>
  </si>
  <si>
    <t>28-May-2019</t>
  </si>
  <si>
    <t>29-May-2019</t>
  </si>
  <si>
    <t>30-May-2019</t>
  </si>
  <si>
    <t>31-May-2019</t>
  </si>
  <si>
    <t>03-Jun-2019</t>
  </si>
  <si>
    <t>04-Jun-2019</t>
  </si>
  <si>
    <t>05-Jun-2019</t>
  </si>
  <si>
    <t>06-Jun-2019</t>
  </si>
  <si>
    <t>07-Jun-2019</t>
  </si>
  <si>
    <t>11-Jun-2019</t>
  </si>
  <si>
    <t>12-Jun-2019</t>
  </si>
  <si>
    <t>13-Jun-2019</t>
  </si>
  <si>
    <t>14-Jun-2019</t>
  </si>
  <si>
    <t>17-Jun-2019</t>
  </si>
  <si>
    <t>18-Jun-2019</t>
  </si>
  <si>
    <t>19-Jun-2019</t>
  </si>
  <si>
    <t>20-Jun-2019</t>
  </si>
  <si>
    <t>21-Jun-2019</t>
  </si>
  <si>
    <t>24-Jun-2019</t>
  </si>
  <si>
    <t>25-Jun-2019</t>
  </si>
  <si>
    <t>26-Jun-2019</t>
  </si>
  <si>
    <t>27-Jun-2019</t>
  </si>
  <si>
    <t>28-Jun-2019</t>
  </si>
  <si>
    <t>01-Jul-2019</t>
  </si>
  <si>
    <t>02-Jul-2019</t>
  </si>
  <si>
    <t>03-Jul-2019</t>
  </si>
  <si>
    <t>04-Jul-2019</t>
  </si>
  <si>
    <t>05-Jul-2019</t>
  </si>
  <si>
    <t>08-Jul-2019</t>
  </si>
  <si>
    <t>09-Jul-2019</t>
  </si>
  <si>
    <t>10-Jul-2019</t>
  </si>
  <si>
    <t>11-Jul-2019</t>
  </si>
  <si>
    <t>12-Jul-2019</t>
  </si>
  <si>
    <t>15-Jul-2019</t>
  </si>
  <si>
    <t>16-Jul-2019</t>
  </si>
  <si>
    <t>17-Jul-2019</t>
  </si>
  <si>
    <t>18-Jul-2019</t>
  </si>
  <si>
    <t>19-Jul-2019</t>
  </si>
  <si>
    <t>22-Jul-2019</t>
  </si>
  <si>
    <t>23-Jul-2019</t>
  </si>
  <si>
    <t>24-Jul-2019</t>
  </si>
  <si>
    <t>25-Jul-2019</t>
  </si>
  <si>
    <t>26-Jul-2019</t>
  </si>
  <si>
    <t>29-Jul-2019</t>
  </si>
  <si>
    <t>30-Jul-2019</t>
  </si>
  <si>
    <t>31-Jul-2019</t>
  </si>
  <si>
    <t>01-Aug-2019</t>
  </si>
  <si>
    <t>02-Aug-2019</t>
  </si>
  <si>
    <t>05-Aug-2019</t>
  </si>
  <si>
    <t>06-Aug-2019</t>
  </si>
  <si>
    <t>07-Aug-2019</t>
  </si>
  <si>
    <t>08-Aug-2019</t>
  </si>
  <si>
    <t>09-Aug-2019</t>
  </si>
  <si>
    <t>12-Aug-2019</t>
  </si>
  <si>
    <t>13-Aug-2019</t>
  </si>
  <si>
    <t>14-Aug-2019</t>
  </si>
  <si>
    <t>15-Aug-2019</t>
  </si>
  <si>
    <t>16-Aug-2019</t>
  </si>
  <si>
    <t>19-Aug-2019</t>
  </si>
  <si>
    <t>20-Aug-2019</t>
  </si>
  <si>
    <t>21-Aug-2019</t>
  </si>
  <si>
    <t>22-Aug-2019</t>
  </si>
  <si>
    <t>23-Aug-2019</t>
  </si>
  <si>
    <t>26-Aug-2019</t>
  </si>
  <si>
    <t>27-Aug-2019</t>
  </si>
  <si>
    <t>28-Aug-2019</t>
  </si>
  <si>
    <t>29-Aug-2019</t>
  </si>
  <si>
    <t>30-Aug-2019</t>
  </si>
  <si>
    <t>02-Sep-2019</t>
  </si>
  <si>
    <t>03-Sep-2019</t>
  </si>
  <si>
    <t>04-Sep-2019</t>
  </si>
  <si>
    <t>05-Sep-2019</t>
  </si>
  <si>
    <t>06-Sep-2019</t>
  </si>
  <si>
    <t>09-Sep-2019</t>
  </si>
  <si>
    <t>10-Sep-2019</t>
  </si>
  <si>
    <t>11-Sep-2019</t>
  </si>
  <si>
    <t>12-Sep-2019</t>
  </si>
  <si>
    <t>13-Sep-2019</t>
  </si>
  <si>
    <t>16-Sep-2019</t>
  </si>
  <si>
    <t>17-Sep-2019</t>
  </si>
  <si>
    <t>18-Sep-2019</t>
  </si>
  <si>
    <t>19-Sep-2019</t>
  </si>
  <si>
    <t>20-Sep-2019</t>
  </si>
  <si>
    <t>23-Sep-2019</t>
  </si>
  <si>
    <t>24-Sep-2019</t>
  </si>
  <si>
    <t>25-Sep-2019</t>
  </si>
  <si>
    <t>26-Sep-2019</t>
  </si>
  <si>
    <t>27-Sep-2019</t>
  </si>
  <si>
    <t>30-Sep-2019</t>
  </si>
  <si>
    <t>01-Oct-2019</t>
  </si>
  <si>
    <t>02-Oct-2019</t>
  </si>
  <si>
    <t>03-Oct-2019</t>
  </si>
  <si>
    <t>04-Oct-2019</t>
  </si>
  <si>
    <t>08-Oct-2019</t>
  </si>
  <si>
    <t>09-Oct-2019</t>
  </si>
  <si>
    <t>10-Oct-2019</t>
  </si>
  <si>
    <t>11-Oct-2019</t>
  </si>
  <si>
    <t>14-Oct-2019</t>
  </si>
  <si>
    <t>15-Oct-2019</t>
  </si>
  <si>
    <t>16-Oct-2019</t>
  </si>
  <si>
    <t>17-Oct-2019</t>
  </si>
  <si>
    <t>18-Oct-2019</t>
  </si>
  <si>
    <t>21-Oct-2019</t>
  </si>
  <si>
    <t>22-Oct-2019</t>
  </si>
  <si>
    <t>23-Oct-2019</t>
  </si>
  <si>
    <t>24-Oct-2019</t>
  </si>
  <si>
    <t>25-Oct-2019</t>
  </si>
  <si>
    <t>28-Oct-2019</t>
  </si>
  <si>
    <t>29-Oct-2019</t>
  </si>
  <si>
    <t>30-Oct-2019</t>
  </si>
  <si>
    <t>31-Oct-2019</t>
  </si>
  <si>
    <t>01-Nov-2019</t>
  </si>
  <si>
    <t>04-Nov-2019</t>
  </si>
  <si>
    <t>05-Nov-2019</t>
  </si>
  <si>
    <t>06-Nov-2019</t>
  </si>
  <si>
    <t>07-Nov-2019</t>
  </si>
  <si>
    <t>08-Nov-2019</t>
  </si>
  <si>
    <t>11-Nov-2019</t>
  </si>
  <si>
    <t>12-Nov-2019</t>
  </si>
  <si>
    <t>13-Nov-2019</t>
  </si>
  <si>
    <t>14-Nov-2019</t>
  </si>
  <si>
    <t>15-Nov-2019</t>
  </si>
  <si>
    <t>18-Nov-2019</t>
  </si>
  <si>
    <t>19-Nov-2019</t>
  </si>
  <si>
    <t>20-Nov-2019</t>
  </si>
  <si>
    <t>21-Nov-2019</t>
  </si>
  <si>
    <t>22-Nov-2019</t>
  </si>
  <si>
    <t>25-Nov-2019</t>
  </si>
  <si>
    <t>26-Nov-2019</t>
  </si>
  <si>
    <t>27-Nov-2019</t>
  </si>
  <si>
    <t>28-Nov-2019</t>
  </si>
  <si>
    <t>29-Nov-2019</t>
  </si>
  <si>
    <t>02-Dec-2019</t>
  </si>
  <si>
    <t>03-Dec-2019</t>
  </si>
  <si>
    <t>04-Dec-2019</t>
  </si>
  <si>
    <t>05-Dec-2019</t>
  </si>
  <si>
    <t>06-Dec-2019</t>
  </si>
  <si>
    <t>09-Dec-2019</t>
  </si>
  <si>
    <t>10-Dec-2019</t>
  </si>
  <si>
    <t>11-Dec-2019</t>
  </si>
  <si>
    <t>12-Dec-2019</t>
  </si>
  <si>
    <t>13-Dec-2019</t>
  </si>
  <si>
    <t>16-Dec-2019</t>
  </si>
  <si>
    <t>17-Dec-2019</t>
  </si>
  <si>
    <t>18-Dec-2019</t>
  </si>
  <si>
    <t>19-Dec-2019</t>
  </si>
  <si>
    <t>20-Dec-2019</t>
  </si>
  <si>
    <t>23-Dec-2019</t>
  </si>
  <si>
    <t>24-Dec-2019</t>
  </si>
  <si>
    <t>27-Dec-2019</t>
  </si>
  <si>
    <t>30-Dec-2019</t>
  </si>
  <si>
    <t>31-Dec-2019</t>
  </si>
  <si>
    <t>02-Jan-2020</t>
  </si>
  <si>
    <t>03-Jan-2020</t>
  </si>
  <si>
    <t>06-Jan-2020</t>
  </si>
  <si>
    <t>07-Jan-2020</t>
  </si>
  <si>
    <t>08-Jan-2020</t>
  </si>
  <si>
    <t>09-Jan-2020</t>
  </si>
  <si>
    <t>10-Jan-2020</t>
  </si>
  <si>
    <t>13-Jan-2020</t>
  </si>
  <si>
    <t>14-Jan-2020</t>
  </si>
  <si>
    <t>15-Jan-2020</t>
  </si>
  <si>
    <t>16-Jan-2020</t>
  </si>
  <si>
    <t>17-Jan-2020</t>
  </si>
  <si>
    <t>20-Jan-2020</t>
  </si>
  <si>
    <t>21-Jan-2020</t>
  </si>
  <si>
    <t>22-Jan-2020</t>
  </si>
  <si>
    <t>23-Jan-2020</t>
  </si>
  <si>
    <t>24-Jan-2020</t>
  </si>
  <si>
    <t>28-Jan-2020</t>
  </si>
  <si>
    <t>29-Jan-2020</t>
  </si>
  <si>
    <t>30-Jan-2020</t>
  </si>
  <si>
    <t>31-Jan-2020</t>
  </si>
  <si>
    <t>03-Feb-2020</t>
  </si>
  <si>
    <t>04-Feb-2020</t>
  </si>
  <si>
    <t>05-Feb-2020</t>
  </si>
  <si>
    <t>06-Feb-2020</t>
  </si>
  <si>
    <t>07-Feb-2020</t>
  </si>
  <si>
    <t>10-Feb-2020</t>
  </si>
  <si>
    <t>11-Feb-2020</t>
  </si>
  <si>
    <t>12-Feb-2020</t>
  </si>
  <si>
    <t>13-Feb-2020</t>
  </si>
  <si>
    <t>14-Feb-2020</t>
  </si>
  <si>
    <t>17-Feb-2020</t>
  </si>
  <si>
    <t>18-Feb-2020</t>
  </si>
  <si>
    <t>19-Feb-2020</t>
  </si>
  <si>
    <t>20-Feb-2020</t>
  </si>
  <si>
    <t>21-Feb-2020</t>
  </si>
  <si>
    <t>24-Feb-2020</t>
  </si>
  <si>
    <t>25-Feb-2020</t>
  </si>
  <si>
    <t>26-Feb-2020</t>
  </si>
  <si>
    <t>27-Feb-2020</t>
  </si>
  <si>
    <t>28-Feb-2020</t>
  </si>
  <si>
    <t>02-Mar-2020</t>
  </si>
  <si>
    <t>03-Mar-2020</t>
  </si>
  <si>
    <t>04-Mar-2020</t>
  </si>
  <si>
    <t>05-Mar-2020</t>
  </si>
  <si>
    <t>06-Mar-2020</t>
  </si>
  <si>
    <t>09-Mar-2020</t>
  </si>
  <si>
    <t>10-Mar-2020</t>
  </si>
  <si>
    <t>11-Mar-2020</t>
  </si>
  <si>
    <t>12-Mar-2020</t>
  </si>
  <si>
    <t>13-Mar-2020</t>
  </si>
  <si>
    <t>16-Mar-2020</t>
  </si>
  <si>
    <t>17-Mar-2020</t>
  </si>
  <si>
    <t>18-Mar-2020</t>
  </si>
  <si>
    <t>19-Mar-2020</t>
  </si>
  <si>
    <t>20-Mar-2020</t>
  </si>
  <si>
    <t>23-Mar-2020</t>
  </si>
  <si>
    <t>24-Mar-2020</t>
  </si>
  <si>
    <t>25-Mar-2020</t>
  </si>
  <si>
    <t>26-Mar-2020</t>
  </si>
  <si>
    <t>27-Mar-2020</t>
  </si>
  <si>
    <t>30-Mar-2020</t>
  </si>
  <si>
    <t>31-Mar-2020</t>
  </si>
  <si>
    <t>01-Apr-2020</t>
  </si>
  <si>
    <t>02-Apr-2020</t>
  </si>
  <si>
    <t>03-Apr-2020</t>
  </si>
  <si>
    <t>06-Apr-2020</t>
  </si>
  <si>
    <t>07-Apr-2020</t>
  </si>
  <si>
    <t>08-Apr-2020</t>
  </si>
  <si>
    <t>09-Apr-2020</t>
  </si>
  <si>
    <t>14-Apr-2020</t>
  </si>
  <si>
    <t>15-Apr-2020</t>
  </si>
  <si>
    <t>16-Apr-2020</t>
  </si>
  <si>
    <t>17-Apr-2020</t>
  </si>
  <si>
    <t>20-Apr-2020</t>
  </si>
  <si>
    <t>21-Apr-2020</t>
  </si>
  <si>
    <t>22-Apr-2020</t>
  </si>
  <si>
    <t>23-Apr-2020</t>
  </si>
  <si>
    <t>24-Apr-2020</t>
  </si>
  <si>
    <t>27-Apr-2020</t>
  </si>
  <si>
    <t>28-Apr-2020</t>
  </si>
  <si>
    <t>29-Apr-2020</t>
  </si>
  <si>
    <t>30-Apr-2020</t>
  </si>
  <si>
    <t>01-May-2020</t>
  </si>
  <si>
    <t>04-May-2020</t>
  </si>
  <si>
    <t>05-May-2020</t>
  </si>
  <si>
    <t>06-May-2020</t>
  </si>
  <si>
    <t>07-May-2020</t>
  </si>
  <si>
    <t>08-May-2020</t>
  </si>
  <si>
    <t>11-May-2020</t>
  </si>
  <si>
    <t>12-May-2020</t>
  </si>
  <si>
    <t>13-May-2020</t>
  </si>
  <si>
    <t>14-May-2020</t>
  </si>
  <si>
    <t>15-May-2020</t>
  </si>
  <si>
    <t>18-May-2020</t>
  </si>
  <si>
    <t>19-May-2020</t>
  </si>
  <si>
    <t>20-May-2020</t>
  </si>
  <si>
    <t>21-May-2020</t>
  </si>
  <si>
    <t>22-May-2020</t>
  </si>
  <si>
    <t>25-May-2020</t>
  </si>
  <si>
    <t>26-May-2020</t>
  </si>
  <si>
    <t>27-May-2020</t>
  </si>
  <si>
    <t>28-May-2020</t>
  </si>
  <si>
    <t>29-May-2020</t>
  </si>
  <si>
    <t>01-Jun-2020</t>
  </si>
  <si>
    <t>02-Jun-2020</t>
  </si>
  <si>
    <t>03-Jun-2020</t>
  </si>
  <si>
    <t>04-Jun-2020</t>
  </si>
  <si>
    <t>05-Jun-2020</t>
  </si>
  <si>
    <t>09-Jun-2020</t>
  </si>
  <si>
    <t>10-Jun-2020</t>
  </si>
  <si>
    <t>11-Jun-2020</t>
  </si>
  <si>
    <t>12-Jun-2020</t>
  </si>
  <si>
    <t>15-Jun-2020</t>
  </si>
  <si>
    <t>16-Jun-2020</t>
  </si>
  <si>
    <t>17-Jun-2020</t>
  </si>
  <si>
    <t>18-Jun-2020</t>
  </si>
  <si>
    <t>19-Jun-2020</t>
  </si>
  <si>
    <t>22-Jun-2020</t>
  </si>
  <si>
    <t>23-Jun-2020</t>
  </si>
  <si>
    <t>24-Jun-2020</t>
  </si>
  <si>
    <t>25-Jun-2020</t>
  </si>
  <si>
    <t>26-Jun-2020</t>
  </si>
  <si>
    <t>29-Jun-2020</t>
  </si>
  <si>
    <t>30-Jun-2020</t>
  </si>
  <si>
    <t>01-Jul-2020</t>
  </si>
  <si>
    <t>02-Jul-2020</t>
  </si>
  <si>
    <t>03-Jul-2020</t>
  </si>
  <si>
    <t>06-Jul-2020</t>
  </si>
  <si>
    <t>07-Jul-2020</t>
  </si>
  <si>
    <t>08-Jul-2020</t>
  </si>
  <si>
    <t>09-Jul-2020</t>
  </si>
  <si>
    <t>10-Jul-2020</t>
  </si>
  <si>
    <t>13-Jul-2020</t>
  </si>
  <si>
    <t>14-Jul-2020</t>
  </si>
  <si>
    <t>15-Jul-2020</t>
  </si>
  <si>
    <t>16-Jul-2020</t>
  </si>
  <si>
    <t>17-Jul-2020</t>
  </si>
  <si>
    <t>20-Jul-2020</t>
  </si>
  <si>
    <t>21-Jul-2020</t>
  </si>
  <si>
    <t>22-Jul-2020</t>
  </si>
  <si>
    <t>23-Jul-2020</t>
  </si>
  <si>
    <t>24-Jul-2020</t>
  </si>
  <si>
    <t>27-Jul-2020</t>
  </si>
  <si>
    <t>28-Jul-2020</t>
  </si>
  <si>
    <t>29-Jul-2020</t>
  </si>
  <si>
    <t>30-Jul-2020</t>
  </si>
  <si>
    <t>31-Jul-2020</t>
  </si>
  <si>
    <t>03-Aug-2020</t>
  </si>
  <si>
    <t>04-Aug-2020</t>
  </si>
  <si>
    <t>05-Aug-2020</t>
  </si>
  <si>
    <t>06-Aug-2020</t>
  </si>
  <si>
    <t>07-Aug-2020</t>
  </si>
  <si>
    <t>10-Aug-2020</t>
  </si>
  <si>
    <t>11-Aug-2020</t>
  </si>
  <si>
    <t>12-Aug-2020</t>
  </si>
  <si>
    <t>13-Aug-2020</t>
  </si>
  <si>
    <t>14-Aug-2020</t>
  </si>
  <si>
    <t>17-Aug-2020</t>
  </si>
  <si>
    <t>18-Aug-2020</t>
  </si>
  <si>
    <t>19-Aug-2020</t>
  </si>
  <si>
    <t>20-Aug-2020</t>
  </si>
  <si>
    <t>21-Aug-2020</t>
  </si>
  <si>
    <t>24-Aug-2020</t>
  </si>
  <si>
    <t>25-Aug-2020</t>
  </si>
  <si>
    <t>26-Aug-2020</t>
  </si>
  <si>
    <t>27-Aug-2020</t>
  </si>
  <si>
    <t>28-Aug-2020</t>
  </si>
  <si>
    <t>31-Aug-2020</t>
  </si>
  <si>
    <t>01-Sep-2020</t>
  </si>
  <si>
    <t>02-Sep-2020</t>
  </si>
  <si>
    <t>03-Sep-2020</t>
  </si>
  <si>
    <t>04-Sep-2020</t>
  </si>
  <si>
    <t>07-Sep-2020</t>
  </si>
  <si>
    <t>08-Sep-2020</t>
  </si>
  <si>
    <t>09-Sep-2020</t>
  </si>
  <si>
    <t>10-Sep-2020</t>
  </si>
  <si>
    <t>11-Sep-2020</t>
  </si>
  <si>
    <t>14-Sep-2020</t>
  </si>
  <si>
    <t>15-Sep-2020</t>
  </si>
  <si>
    <t>16-Sep-2020</t>
  </si>
  <si>
    <t>17-Sep-2020</t>
  </si>
  <si>
    <t>18-Sep-2020</t>
  </si>
  <si>
    <t>21-Sep-2020</t>
  </si>
  <si>
    <t>22-Sep-2020</t>
  </si>
  <si>
    <t>23-Sep-2020</t>
  </si>
  <si>
    <t>24-Sep-2020</t>
  </si>
  <si>
    <t>25-Sep-2020</t>
  </si>
  <si>
    <t>28-Sep-2020</t>
  </si>
  <si>
    <t>29-Sep-2020</t>
  </si>
  <si>
    <t>30-Sep-2020</t>
  </si>
  <si>
    <t>01-Oct-2020</t>
  </si>
  <si>
    <t>02-Oct-2020</t>
  </si>
  <si>
    <t>06-Oct-2020</t>
  </si>
  <si>
    <t>07-Oct-2020</t>
  </si>
  <si>
    <t>08-Oct-2020</t>
  </si>
  <si>
    <t>09-Oct-2020</t>
  </si>
  <si>
    <t>12-Oct-2020</t>
  </si>
  <si>
    <t>13-Oct-2020</t>
  </si>
  <si>
    <t>14-Oct-2020</t>
  </si>
  <si>
    <t>15-Oct-2020</t>
  </si>
  <si>
    <t>16-Oct-2020</t>
  </si>
  <si>
    <t>19-Oct-2020</t>
  </si>
  <si>
    <t>20-Oct-2020</t>
  </si>
  <si>
    <t>21-Oct-2020</t>
  </si>
  <si>
    <t>22-Oct-2020</t>
  </si>
  <si>
    <t>23-Oct-2020</t>
  </si>
  <si>
    <t>26-Oct-2020</t>
  </si>
  <si>
    <t>27-Oct-2020</t>
  </si>
  <si>
    <t>28-Oct-2020</t>
  </si>
  <si>
    <t>29-Oct-2020</t>
  </si>
  <si>
    <t>30-Oct-2020</t>
  </si>
  <si>
    <t>02-Nov-2020</t>
  </si>
  <si>
    <t>03-Nov-2020</t>
  </si>
  <si>
    <t>04-Nov-2020</t>
  </si>
  <si>
    <t>05-Nov-2020</t>
  </si>
  <si>
    <t>06-Nov-2020</t>
  </si>
  <si>
    <t>09-Nov-2020</t>
  </si>
  <si>
    <t>10-Nov-2020</t>
  </si>
  <si>
    <t>11-Nov-2020</t>
  </si>
  <si>
    <t>12-Nov-2020</t>
  </si>
  <si>
    <t>13-Nov-2020</t>
  </si>
  <si>
    <t>16-Nov-2020</t>
  </si>
  <si>
    <t>17-Nov-2020</t>
  </si>
  <si>
    <t>18-Nov-2020</t>
  </si>
  <si>
    <t>19-Nov-2020</t>
  </si>
  <si>
    <t>20-Nov-2020</t>
  </si>
  <si>
    <t>23-Nov-2020</t>
  </si>
  <si>
    <t>24-Nov-2020</t>
  </si>
  <si>
    <t>25-Nov-2020</t>
  </si>
  <si>
    <t>26-Nov-2020</t>
  </si>
  <si>
    <t>27-Nov-2020</t>
  </si>
  <si>
    <t>30-Nov-2020</t>
  </si>
  <si>
    <t>01-Dec-2020</t>
  </si>
  <si>
    <t>02-Dec-2020</t>
  </si>
  <si>
    <t>03-Dec-2020</t>
  </si>
  <si>
    <t>04-Dec-2020</t>
  </si>
  <si>
    <t>07-Dec-2020</t>
  </si>
  <si>
    <t>08-Dec-2020</t>
  </si>
  <si>
    <t>09-Dec-2020</t>
  </si>
  <si>
    <t>10-Dec-2020</t>
  </si>
  <si>
    <t>11-Dec-2020</t>
  </si>
  <si>
    <t>14-Dec-2020</t>
  </si>
  <si>
    <t>15-Dec-2020</t>
  </si>
  <si>
    <t>16-Dec-2020</t>
  </si>
  <si>
    <t>17-Dec-2020</t>
  </si>
  <si>
    <t>18-Dec-2020</t>
  </si>
  <si>
    <t>21-Dec-2020</t>
  </si>
  <si>
    <t>22-Dec-2020</t>
  </si>
  <si>
    <t>23-Dec-2020</t>
  </si>
  <si>
    <t>24-Dec-2020</t>
  </si>
  <si>
    <t>29-Dec-2020</t>
  </si>
  <si>
    <t>30-Dec-2020</t>
  </si>
  <si>
    <t>31-Dec-2020</t>
  </si>
  <si>
    <t>04-Jan-2021</t>
  </si>
  <si>
    <t>05-Jan-2021</t>
  </si>
  <si>
    <t>06-Jan-2021</t>
  </si>
  <si>
    <t>07-Jan-2021</t>
  </si>
  <si>
    <t>08-Jan-2021</t>
  </si>
  <si>
    <t>11-Jan-2021</t>
  </si>
  <si>
    <t>12-Jan-2021</t>
  </si>
  <si>
    <t>13-Jan-2021</t>
  </si>
  <si>
    <t>14-Jan-2021</t>
  </si>
  <si>
    <t>15-Jan-2021</t>
  </si>
  <si>
    <t>18-Jan-2021</t>
  </si>
  <si>
    <t>19-Jan-2021</t>
  </si>
  <si>
    <t>20-Jan-2021</t>
  </si>
  <si>
    <t>21-Jan-2021</t>
  </si>
  <si>
    <t>22-Jan-2021</t>
  </si>
  <si>
    <t>25-Jan-2021</t>
  </si>
  <si>
    <t>27-Jan-2021</t>
  </si>
  <si>
    <t>28-Jan-2021</t>
  </si>
  <si>
    <t>29-Jan-2021</t>
  </si>
  <si>
    <t>01-Feb-2021</t>
  </si>
  <si>
    <t>02-Feb-2021</t>
  </si>
  <si>
    <t>03-Feb-2021</t>
  </si>
  <si>
    <t>04-Feb-2021</t>
  </si>
  <si>
    <t>05-Feb-2021</t>
  </si>
  <si>
    <t>08-Feb-2021</t>
  </si>
  <si>
    <t>09-Feb-2021</t>
  </si>
  <si>
    <t>10-Feb-2021</t>
  </si>
  <si>
    <t>11-Feb-2021</t>
  </si>
  <si>
    <t>12-Feb-2021</t>
  </si>
  <si>
    <t>15-Feb-2021</t>
  </si>
  <si>
    <t>16-Feb-2021</t>
  </si>
  <si>
    <t>17-Feb-2021</t>
  </si>
  <si>
    <t>18-Feb-2021</t>
  </si>
  <si>
    <t>19-Feb-2021</t>
  </si>
  <si>
    <t>22-Feb-2021</t>
  </si>
  <si>
    <t>23-Feb-2021</t>
  </si>
  <si>
    <t>24-Feb-2021</t>
  </si>
  <si>
    <t>25-Feb-2021</t>
  </si>
  <si>
    <t>26-Feb-2021</t>
  </si>
  <si>
    <t>01-Mar-2021</t>
  </si>
  <si>
    <t>02-Mar-2021</t>
  </si>
  <si>
    <t>03-Mar-2021</t>
  </si>
  <si>
    <t>04-Mar-2021</t>
  </si>
  <si>
    <t>05-Mar-2021</t>
  </si>
  <si>
    <t>08-Mar-2021</t>
  </si>
  <si>
    <t>09-Mar-2021</t>
  </si>
  <si>
    <t>10-Mar-2021</t>
  </si>
  <si>
    <t>11-Mar-2021</t>
  </si>
  <si>
    <t>12-Mar-2021</t>
  </si>
  <si>
    <t>15-Mar-2021</t>
  </si>
  <si>
    <t>16-Mar-2021</t>
  </si>
  <si>
    <t>17-Mar-2021</t>
  </si>
  <si>
    <t>18-Mar-2021</t>
  </si>
  <si>
    <t>19-Mar-2021</t>
  </si>
  <si>
    <t>22-Mar-2021</t>
  </si>
  <si>
    <t>23-Mar-2021</t>
  </si>
  <si>
    <t>24-Mar-2021</t>
  </si>
  <si>
    <t>25-Mar-2021</t>
  </si>
  <si>
    <t>26-Mar-2021</t>
  </si>
  <si>
    <t>29-Mar-2021</t>
  </si>
  <si>
    <t>30-Mar-2021</t>
  </si>
  <si>
    <t>31-Mar-2021</t>
  </si>
  <si>
    <t>01-Apr-2021</t>
  </si>
  <si>
    <t>06-Apr-2021</t>
  </si>
  <si>
    <t>07-Apr-2021</t>
  </si>
  <si>
    <t>08-Apr-2021</t>
  </si>
  <si>
    <t>09-Apr-2021</t>
  </si>
  <si>
    <t>12-Apr-2021</t>
  </si>
  <si>
    <t>13-Apr-2021</t>
  </si>
  <si>
    <t>14-Apr-2021</t>
  </si>
  <si>
    <t>15-Apr-2021</t>
  </si>
  <si>
    <t>16-Apr-2021</t>
  </si>
  <si>
    <t>19-Apr-2021</t>
  </si>
  <si>
    <t>20-Apr-2021</t>
  </si>
  <si>
    <t>21-Apr-2021</t>
  </si>
  <si>
    <t>22-Apr-2021</t>
  </si>
  <si>
    <t>23-Apr-2021</t>
  </si>
  <si>
    <t>26-Apr-2021</t>
  </si>
  <si>
    <t>27-Apr-2021</t>
  </si>
  <si>
    <t>28-Apr-2021</t>
  </si>
  <si>
    <t>29-Apr-2021</t>
  </si>
  <si>
    <t>30-Apr-2021</t>
  </si>
  <si>
    <t>03-May-2021</t>
  </si>
  <si>
    <t>04-May-2021</t>
  </si>
  <si>
    <t>05-May-2021</t>
  </si>
  <si>
    <t>06-May-2021</t>
  </si>
  <si>
    <t>07-May-2021</t>
  </si>
  <si>
    <t>10-May-2021</t>
  </si>
  <si>
    <t>11-May-2021</t>
  </si>
  <si>
    <t>12-May-2021</t>
  </si>
  <si>
    <t>13-May-2021</t>
  </si>
  <si>
    <t>14-May-2021</t>
  </si>
  <si>
    <t>17-May-2021</t>
  </si>
  <si>
    <t>18-May-2021</t>
  </si>
  <si>
    <t>19-May-2021</t>
  </si>
  <si>
    <t>20-May-2021</t>
  </si>
  <si>
    <t>21-May-2021</t>
  </si>
  <si>
    <t>24-May-2021</t>
  </si>
  <si>
    <t>25-May-2021</t>
  </si>
  <si>
    <t>26-May-2021</t>
  </si>
  <si>
    <t>27-May-2021</t>
  </si>
  <si>
    <t>28-May-2021</t>
  </si>
  <si>
    <t>31-May-2021</t>
  </si>
  <si>
    <t>01-Jun-2021</t>
  </si>
  <si>
    <t>02-Jun-2021</t>
  </si>
  <si>
    <t>03-Jun-2021</t>
  </si>
  <si>
    <t>04-Jun-2021</t>
  </si>
  <si>
    <t>07-Jun-2021</t>
  </si>
  <si>
    <t>08-Jun-2021</t>
  </si>
  <si>
    <t>09-Jun-2021</t>
  </si>
  <si>
    <t>10-Jun-2021</t>
  </si>
  <si>
    <t>11-Jun-2021</t>
  </si>
  <si>
    <t>15-Jun-2021</t>
  </si>
  <si>
    <t>16-Jun-2021</t>
  </si>
  <si>
    <t>17-Jun-2021</t>
  </si>
  <si>
    <t>18-Jun-2021</t>
  </si>
  <si>
    <t>21-Jun-2021</t>
  </si>
  <si>
    <t>22-Jun-2021</t>
  </si>
  <si>
    <t>23-Jun-2021</t>
  </si>
  <si>
    <t>24-Jun-2021</t>
  </si>
  <si>
    <t>25-Jun-2021</t>
  </si>
  <si>
    <t>28-Jun-2021</t>
  </si>
  <si>
    <t>29-Jun-2021</t>
  </si>
  <si>
    <t>30-Jun-2021</t>
  </si>
  <si>
    <t>01-Jul-2021</t>
  </si>
  <si>
    <t>02-Jul-2021</t>
  </si>
  <si>
    <t>05-Jul-2021</t>
  </si>
  <si>
    <t>06-Jul-2021</t>
  </si>
  <si>
    <t>07-Jul-2021</t>
  </si>
  <si>
    <t>08-Jul-2021</t>
  </si>
  <si>
    <t>09-Jul-2021</t>
  </si>
  <si>
    <t>12-Jul-2021</t>
  </si>
  <si>
    <t>13-Jul-2021</t>
  </si>
  <si>
    <t>14-Jul-2021</t>
  </si>
  <si>
    <t>15-Jul-2021</t>
  </si>
  <si>
    <t>16-Jul-2021</t>
  </si>
  <si>
    <t>19-Jul-2021</t>
  </si>
  <si>
    <t>20-Jul-2021</t>
  </si>
  <si>
    <t>21-Jul-2021</t>
  </si>
  <si>
    <t>22-Jul-2021</t>
  </si>
  <si>
    <t>23-Jul-2021</t>
  </si>
  <si>
    <t>26-Jul-2021</t>
  </si>
  <si>
    <t>27-Jul-2021</t>
  </si>
  <si>
    <t>28-Jul-2021</t>
  </si>
  <si>
    <t>29-Jul-2021</t>
  </si>
  <si>
    <t>30-Jul-2021</t>
  </si>
  <si>
    <t>03-Aug-2021</t>
  </si>
  <si>
    <t>04-Aug-2021</t>
  </si>
  <si>
    <t>05-Aug-2021</t>
  </si>
  <si>
    <t>06-Aug-2021</t>
  </si>
  <si>
    <t>09-Aug-2021</t>
  </si>
  <si>
    <t>10-Aug-2021</t>
  </si>
  <si>
    <t>11-Aug-2021</t>
  </si>
  <si>
    <t>12-Aug-2021</t>
  </si>
  <si>
    <t>13-Aug-2021</t>
  </si>
  <si>
    <t>16-Aug-2021</t>
  </si>
  <si>
    <t>17-Aug-2021</t>
  </si>
  <si>
    <t>18-Aug-2021</t>
  </si>
  <si>
    <t>19-Aug-2021</t>
  </si>
  <si>
    <t>20-Aug-2021</t>
  </si>
  <si>
    <t>23-Aug-2021</t>
  </si>
  <si>
    <t>24-Aug-2021</t>
  </si>
  <si>
    <t>25-Aug-2021</t>
  </si>
  <si>
    <t>26-Aug-2021</t>
  </si>
  <si>
    <t>27-Aug-2021</t>
  </si>
  <si>
    <t>30-Aug-2021</t>
  </si>
  <si>
    <t>31-Aug-2021</t>
  </si>
  <si>
    <t>01-Sep-2021</t>
  </si>
  <si>
    <t>02-Sep-2021</t>
  </si>
  <si>
    <t>03-Sep-2021</t>
  </si>
  <si>
    <t>06-Sep-2021</t>
  </si>
  <si>
    <t>07-Sep-2021</t>
  </si>
  <si>
    <t>08-Sep-2021</t>
  </si>
  <si>
    <t>09-Sep-2021</t>
  </si>
  <si>
    <t>10-Sep-2021</t>
  </si>
  <si>
    <t>13-Sep-2021</t>
  </si>
  <si>
    <t>14-Sep-2021</t>
  </si>
  <si>
    <t>15-Sep-2021</t>
  </si>
  <si>
    <t>16-Sep-2021</t>
  </si>
  <si>
    <t>17-Sep-2021</t>
  </si>
  <si>
    <t>20-Sep-2021</t>
  </si>
  <si>
    <t>21-Sep-2021</t>
  </si>
  <si>
    <t>22-Sep-2021</t>
  </si>
  <si>
    <t>23-Sep-2021</t>
  </si>
  <si>
    <t>24-Sep-2021</t>
  </si>
  <si>
    <t>27-Sep-2021</t>
  </si>
  <si>
    <t>28-Sep-2021</t>
  </si>
  <si>
    <t>29-Sep-2021</t>
  </si>
  <si>
    <t>30-Sep-2021</t>
  </si>
  <si>
    <t>01-Oct-2021</t>
  </si>
  <si>
    <t>05-Oct-2021</t>
  </si>
  <si>
    <t>06-Oct-2021</t>
  </si>
  <si>
    <t>07-Oct-2021</t>
  </si>
  <si>
    <t>08-Oct-2021</t>
  </si>
  <si>
    <t>11-Oct-2021</t>
  </si>
  <si>
    <t>12-Oct-2021</t>
  </si>
  <si>
    <t>13-Oct-2021</t>
  </si>
  <si>
    <t>14-Oct-2021</t>
  </si>
  <si>
    <t>15-Oct-2021</t>
  </si>
  <si>
    <t>18-Oct-2021</t>
  </si>
  <si>
    <t>19-Oct-2021</t>
  </si>
  <si>
    <t>20-Oct-2021</t>
  </si>
  <si>
    <t>21-Oct-2021</t>
  </si>
  <si>
    <t>22-Oct-2021</t>
  </si>
  <si>
    <t>25-Oct-2021</t>
  </si>
  <si>
    <t>26-Oct-2021</t>
  </si>
  <si>
    <t>27-Oct-2021</t>
  </si>
  <si>
    <t>28-Oct-2021</t>
  </si>
  <si>
    <t>29-Oct-2021</t>
  </si>
  <si>
    <t>01-Nov-2021</t>
  </si>
  <si>
    <t>02-Nov-2021</t>
  </si>
  <si>
    <t>03-Nov-2021</t>
  </si>
  <si>
    <t>04-Nov-2021</t>
  </si>
  <si>
    <t>05-Nov-2021</t>
  </si>
  <si>
    <t>08-Nov-2021</t>
  </si>
  <si>
    <t>09-Nov-2021</t>
  </si>
  <si>
    <t>10-Nov-2021</t>
  </si>
  <si>
    <t>11-Nov-2021</t>
  </si>
  <si>
    <t>12-Nov-2021</t>
  </si>
  <si>
    <t>15-Nov-2021</t>
  </si>
  <si>
    <t>16-Nov-2021</t>
  </si>
  <si>
    <t>17-Nov-2021</t>
  </si>
  <si>
    <t>18-Nov-2021</t>
  </si>
  <si>
    <t>19-Nov-2021</t>
  </si>
  <si>
    <t>22-Nov-2021</t>
  </si>
  <si>
    <t>23-Nov-2021</t>
  </si>
  <si>
    <t>24-Nov-2021</t>
  </si>
  <si>
    <t>25-Nov-2021</t>
  </si>
  <si>
    <t>26-Nov-2021</t>
  </si>
  <si>
    <t>29-Nov-2021</t>
  </si>
  <si>
    <t>30-Nov-2021</t>
  </si>
  <si>
    <t>01-Dec-2021</t>
  </si>
  <si>
    <t>02-Dec-2021</t>
  </si>
  <si>
    <t>03-Dec-2021</t>
  </si>
  <si>
    <t>06-Dec-2021</t>
  </si>
  <si>
    <t>07-Dec-2021</t>
  </si>
  <si>
    <t>08-Dec-2021</t>
  </si>
  <si>
    <t>09-Dec-2021</t>
  </si>
  <si>
    <t>10-Dec-2021</t>
  </si>
  <si>
    <t>13-Dec-2021</t>
  </si>
  <si>
    <t>14-Dec-2021</t>
  </si>
  <si>
    <t>15-Dec-2021</t>
  </si>
  <si>
    <t>16-Dec-2021</t>
  </si>
  <si>
    <t>17-Dec-2021</t>
  </si>
  <si>
    <t>20-Dec-2021</t>
  </si>
  <si>
    <t>21-Dec-2021</t>
  </si>
  <si>
    <t>22-Dec-2021</t>
  </si>
  <si>
    <t>23-Dec-2021</t>
  </si>
  <si>
    <t>24-Dec-2021</t>
  </si>
  <si>
    <t>29-Dec-2021</t>
  </si>
  <si>
    <t>30-Dec-2021</t>
  </si>
  <si>
    <t>31-Dec-2021</t>
  </si>
  <si>
    <t>04-Jan-2022</t>
  </si>
  <si>
    <t>05-Jan-2022</t>
  </si>
  <si>
    <t>06-Jan-2022</t>
  </si>
  <si>
    <t>07-Jan-2022</t>
  </si>
  <si>
    <t>10-Jan-2022</t>
  </si>
  <si>
    <t>11-Jan-2022</t>
  </si>
  <si>
    <t>12-Jan-2022</t>
  </si>
  <si>
    <t>13-Jan-2022</t>
  </si>
  <si>
    <t>14-Jan-2022</t>
  </si>
  <si>
    <t>17-Jan-2022</t>
  </si>
  <si>
    <t>18-Jan-2022</t>
  </si>
  <si>
    <t>19-Jan-2022</t>
  </si>
  <si>
    <t>20-Jan-2022</t>
  </si>
  <si>
    <t>21-Jan-2022</t>
  </si>
  <si>
    <t>24-Jan-2022</t>
  </si>
  <si>
    <t>25-Jan-2022</t>
  </si>
  <si>
    <t>27-Jan-2022</t>
  </si>
  <si>
    <t>28-Jan-2022</t>
  </si>
  <si>
    <t>31-Jan-2022</t>
  </si>
  <si>
    <t>01-Feb-2022</t>
  </si>
  <si>
    <t>02-Feb-2022</t>
  </si>
  <si>
    <t>03-Feb-2022</t>
  </si>
  <si>
    <t>04-Feb-2022</t>
  </si>
  <si>
    <t>07-Feb-2022</t>
  </si>
  <si>
    <t>08-Feb-2022</t>
  </si>
  <si>
    <t>09-Feb-2022</t>
  </si>
  <si>
    <t>10-Feb-2022</t>
  </si>
  <si>
    <t>11-Feb-2022</t>
  </si>
  <si>
    <t>14-Feb-2022</t>
  </si>
  <si>
    <t>15-Feb-2022</t>
  </si>
  <si>
    <t>16-Feb-2022</t>
  </si>
  <si>
    <t>17-Feb-2022</t>
  </si>
  <si>
    <t>18-Feb-2022</t>
  </si>
  <si>
    <t>21-Feb-2022</t>
  </si>
  <si>
    <t>22-Feb-2022</t>
  </si>
  <si>
    <t>23-Feb-2022</t>
  </si>
  <si>
    <t>24-Feb-2022</t>
  </si>
  <si>
    <t>25-Feb-2022</t>
  </si>
  <si>
    <t>28-Feb-2022</t>
  </si>
  <si>
    <t>01-Mar-2022</t>
  </si>
  <si>
    <t>02-Mar-2022</t>
  </si>
  <si>
    <t>03-Mar-2022</t>
  </si>
  <si>
    <t>04-Mar-2022</t>
  </si>
  <si>
    <t>07-Mar-2022</t>
  </si>
  <si>
    <t>08-Mar-2022</t>
  </si>
  <si>
    <t>09-Mar-2022</t>
  </si>
  <si>
    <t>10-Mar-2022</t>
  </si>
  <si>
    <t>11-Mar-2022</t>
  </si>
  <si>
    <t>14-Mar-2022</t>
  </si>
  <si>
    <t>15-Mar-2022</t>
  </si>
  <si>
    <t>16-Mar-2022</t>
  </si>
  <si>
    <t>17-Mar-2022</t>
  </si>
  <si>
    <t>18-Mar-2022</t>
  </si>
  <si>
    <t>21-Mar-2022</t>
  </si>
  <si>
    <t>22-Mar-2022</t>
  </si>
  <si>
    <t>23-Mar-2022</t>
  </si>
  <si>
    <t>24-Mar-2022</t>
  </si>
  <si>
    <t>25-Mar-2022</t>
  </si>
  <si>
    <t>28-Mar-2022</t>
  </si>
  <si>
    <t>29-Mar-2022</t>
  </si>
  <si>
    <t>30-Mar-2022</t>
  </si>
  <si>
    <t>31-Mar-2022</t>
  </si>
  <si>
    <t>01-Apr-2022</t>
  </si>
  <si>
    <t>04-Apr-2022</t>
  </si>
  <si>
    <t>05-Apr-2022</t>
  </si>
  <si>
    <t>06-Apr-2022</t>
  </si>
  <si>
    <t>07-Apr-2022</t>
  </si>
  <si>
    <t>08-Apr-2022</t>
  </si>
  <si>
    <t>11-Apr-2022</t>
  </si>
  <si>
    <t>12-Apr-2022</t>
  </si>
  <si>
    <t>13-Apr-2022</t>
  </si>
  <si>
    <t>14-Apr-2022</t>
  </si>
  <si>
    <t>19-Apr-2022</t>
  </si>
  <si>
    <t>20-Apr-2022</t>
  </si>
  <si>
    <t>21-Apr-2022</t>
  </si>
  <si>
    <t>22-Apr-2022</t>
  </si>
  <si>
    <t>26-Apr-2022</t>
  </si>
  <si>
    <t>27-Apr-2022</t>
  </si>
  <si>
    <t>28-Apr-2022</t>
  </si>
  <si>
    <t>29-Apr-2022</t>
  </si>
  <si>
    <t>02-May-2022</t>
  </si>
  <si>
    <t>03-May-2022</t>
  </si>
  <si>
    <t>04-May-2022</t>
  </si>
  <si>
    <t>05-May-2022</t>
  </si>
  <si>
    <t>06-May-2022</t>
  </si>
  <si>
    <t>09-May-2022</t>
  </si>
  <si>
    <t>10-May-2022</t>
  </si>
  <si>
    <t>11-May-2022</t>
  </si>
  <si>
    <t>12-May-2022</t>
  </si>
  <si>
    <t>13-May-2022</t>
  </si>
  <si>
    <t>16-May-2022</t>
  </si>
  <si>
    <t>17-May-2022</t>
  </si>
  <si>
    <t>18-May-2022</t>
  </si>
  <si>
    <t>19-May-2022</t>
  </si>
  <si>
    <t>20-May-2022</t>
  </si>
  <si>
    <t>23-May-2022</t>
  </si>
  <si>
    <t>24-May-2022</t>
  </si>
  <si>
    <t>25-May-2022</t>
  </si>
  <si>
    <t>26-May-2022</t>
  </si>
  <si>
    <t>27-May-2022</t>
  </si>
  <si>
    <t>30-May-2022</t>
  </si>
  <si>
    <t>31-May-2022</t>
  </si>
  <si>
    <t>01-Jun-2022</t>
  </si>
  <si>
    <t>02-Jun-2022</t>
  </si>
  <si>
    <t>03-Jun-2022</t>
  </si>
  <si>
    <t>06-Jun-2022</t>
  </si>
  <si>
    <t>07-Jun-2022</t>
  </si>
  <si>
    <t>08-Jun-2022</t>
  </si>
  <si>
    <t>09-Jun-2022</t>
  </si>
  <si>
    <t>10-Jun-2022</t>
  </si>
  <si>
    <t>14-Jun-2022</t>
  </si>
  <si>
    <t>15-Jun-2022</t>
  </si>
  <si>
    <t>16-Jun-2022</t>
  </si>
  <si>
    <t>17-Jun-2022</t>
  </si>
  <si>
    <t>20-Jun-2022</t>
  </si>
  <si>
    <t>21-Jun-2022</t>
  </si>
  <si>
    <t>22-Jun-2022</t>
  </si>
  <si>
    <t>23-Jun-2022</t>
  </si>
  <si>
    <t>24-Jun-2022</t>
  </si>
  <si>
    <t>27-Jun-2022</t>
  </si>
  <si>
    <t>28-Jun-2022</t>
  </si>
  <si>
    <t>29-Jun-2022</t>
  </si>
  <si>
    <t>30-Jun-2022</t>
  </si>
  <si>
    <t>01-Jul-2022</t>
  </si>
  <si>
    <t>04-Jul-2022</t>
  </si>
  <si>
    <t>05-Jul-2022</t>
  </si>
  <si>
    <t>06-Jul-2022</t>
  </si>
  <si>
    <t>07-Jul-2022</t>
  </si>
  <si>
    <t>08-Jul-2022</t>
  </si>
  <si>
    <t>11-Jul-2022</t>
  </si>
  <si>
    <t>12-Jul-2022</t>
  </si>
  <si>
    <t>13-Jul-2022</t>
  </si>
  <si>
    <t>14-Jul-2022</t>
  </si>
  <si>
    <t>15-Jul-2022</t>
  </si>
  <si>
    <t>18-Jul-2022</t>
  </si>
  <si>
    <t>19-Jul-2022</t>
  </si>
  <si>
    <t>20-Jul-2022</t>
  </si>
  <si>
    <t>21-Jul-2022</t>
  </si>
  <si>
    <t>22-Jul-2022</t>
  </si>
  <si>
    <t>25-Jul-2022</t>
  </si>
  <si>
    <t>26-Jul-2022</t>
  </si>
  <si>
    <t>27-Jul-2022</t>
  </si>
  <si>
    <t>28-Jul-2022</t>
  </si>
  <si>
    <t>29-Jul-2022</t>
  </si>
  <si>
    <t>01-Aug-2022</t>
  </si>
  <si>
    <t>02-Aug-2022</t>
  </si>
  <si>
    <t>03-Aug-2022</t>
  </si>
  <si>
    <t>04-Aug-2022</t>
  </si>
  <si>
    <t>05-Aug-2022</t>
  </si>
  <si>
    <t>08-Aug-2022</t>
  </si>
  <si>
    <t>09-Aug-2022</t>
  </si>
  <si>
    <t>10-Aug-2022</t>
  </si>
  <si>
    <t>11-Aug-2022</t>
  </si>
  <si>
    <t>12-Aug-2022</t>
  </si>
  <si>
    <t>15-Aug-2022</t>
  </si>
  <si>
    <t>16-Aug-2022</t>
  </si>
  <si>
    <t>17-Aug-2022</t>
  </si>
  <si>
    <t>18-Aug-2022</t>
  </si>
  <si>
    <t>19-Aug-2022</t>
  </si>
  <si>
    <t>22-Aug-2022</t>
  </si>
  <si>
    <t>23-Aug-2022</t>
  </si>
  <si>
    <t>24-Aug-2022</t>
  </si>
  <si>
    <t>25-Aug-2022</t>
  </si>
  <si>
    <t>26-Aug-2022</t>
  </si>
  <si>
    <t>29-Aug-2022</t>
  </si>
  <si>
    <t>30-Aug-2022</t>
  </si>
  <si>
    <t>31-Aug-2022</t>
  </si>
  <si>
    <t>01-Sep-2022</t>
  </si>
  <si>
    <t>02-Sep-2022</t>
  </si>
  <si>
    <t>05-Sep-2022</t>
  </si>
  <si>
    <t>06-Sep-2022</t>
  </si>
  <si>
    <t>07-Sep-2022</t>
  </si>
  <si>
    <t>08-Sep-2022</t>
  </si>
  <si>
    <t>09-Sep-2022</t>
  </si>
  <si>
    <t>12-Sep-2022</t>
  </si>
  <si>
    <t>13-Sep-2022</t>
  </si>
  <si>
    <t>14-Sep-2022</t>
  </si>
  <si>
    <t>15-Sep-2022</t>
  </si>
  <si>
    <t>16-Sep-2022</t>
  </si>
  <si>
    <t>19-Sep-2022</t>
  </si>
  <si>
    <t>20-Sep-2022</t>
  </si>
  <si>
    <t>21-Sep-2022</t>
  </si>
  <si>
    <t>23-Sep-2022</t>
  </si>
  <si>
    <t>26-Sep-2022</t>
  </si>
  <si>
    <t>27-Sep-2022</t>
  </si>
  <si>
    <t>28-Sep-2022</t>
  </si>
  <si>
    <t>29-Sep-2022</t>
  </si>
  <si>
    <t>30-Sep-2022</t>
  </si>
  <si>
    <t>04-Oct-2022</t>
  </si>
  <si>
    <t>05-Oct-2022</t>
  </si>
  <si>
    <t>06-Oct-2022</t>
  </si>
  <si>
    <t>07-Oct-2022</t>
  </si>
  <si>
    <t>10-Oct-2022</t>
  </si>
  <si>
    <t>11-Oct-2022</t>
  </si>
  <si>
    <t>12-Oct-2022</t>
  </si>
  <si>
    <t>13-Oct-2022</t>
  </si>
  <si>
    <t>14-Oct-2022</t>
  </si>
  <si>
    <t>17-Oct-2022</t>
  </si>
  <si>
    <t>18-Oct-2022</t>
  </si>
  <si>
    <t>19-Oct-2022</t>
  </si>
  <si>
    <t>20-Oct-2022</t>
  </si>
  <si>
    <t>21-Oct-2022</t>
  </si>
  <si>
    <t>24-Oct-2022</t>
  </si>
  <si>
    <t>25-Oct-2022</t>
  </si>
  <si>
    <t>26-Oct-2022</t>
  </si>
  <si>
    <t>27-Oct-2022</t>
  </si>
  <si>
    <t>28-Oct-2022</t>
  </si>
  <si>
    <t>31-Oct-2022</t>
  </si>
  <si>
    <t>01-Nov-2022</t>
  </si>
  <si>
    <t>02-Nov-2022</t>
  </si>
  <si>
    <t>03-Nov-2022</t>
  </si>
  <si>
    <t>04-Nov-2022</t>
  </si>
  <si>
    <t>07-Nov-2022</t>
  </si>
  <si>
    <t>08-Nov-2022</t>
  </si>
  <si>
    <t>09-Nov-2022</t>
  </si>
  <si>
    <t>10-Nov-2022</t>
  </si>
  <si>
    <t>11-Nov-2022</t>
  </si>
  <si>
    <t>14-Nov-2022</t>
  </si>
  <si>
    <t>15-Nov-2022</t>
  </si>
  <si>
    <t>16-Nov-2022</t>
  </si>
  <si>
    <t>17-Nov-2022</t>
  </si>
  <si>
    <t>18-Nov-2022</t>
  </si>
  <si>
    <t>21-Nov-2022</t>
  </si>
  <si>
    <t>22-Nov-2022</t>
  </si>
  <si>
    <t>23-Nov-2022</t>
  </si>
  <si>
    <t>24-Nov-2022</t>
  </si>
  <si>
    <t>25-Nov-2022</t>
  </si>
  <si>
    <t>28-Nov-2022</t>
  </si>
  <si>
    <t>29-Nov-2022</t>
  </si>
  <si>
    <t>30-Nov-2022</t>
  </si>
  <si>
    <t>01-Dec-2022</t>
  </si>
  <si>
    <t>02-Dec-2022</t>
  </si>
  <si>
    <t>05-Dec-2022</t>
  </si>
  <si>
    <t>06-Dec-2022</t>
  </si>
  <si>
    <t>07-Dec-2022</t>
  </si>
  <si>
    <t>08-Dec-2022</t>
  </si>
  <si>
    <t>09-Dec-2022</t>
  </si>
  <si>
    <t>12-Dec-2022</t>
  </si>
  <si>
    <t>13-Dec-2022</t>
  </si>
  <si>
    <t>14-Dec-2022</t>
  </si>
  <si>
    <t>15-Dec-2022</t>
  </si>
  <si>
    <t>16-Dec-2022</t>
  </si>
  <si>
    <t>19-Dec-2022</t>
  </si>
  <si>
    <t>20-Dec-2022</t>
  </si>
  <si>
    <t>21-Dec-2022</t>
  </si>
  <si>
    <t>22-Dec-2022</t>
  </si>
  <si>
    <t>23-Dec-2022</t>
  </si>
  <si>
    <t>28-Dec-2022</t>
  </si>
  <si>
    <t>29-Dec-2022</t>
  </si>
  <si>
    <t>30-Dec-2022</t>
  </si>
  <si>
    <t>03-Jan-2023</t>
  </si>
  <si>
    <t>04-Jan-2023</t>
  </si>
  <si>
    <t>05-Jan-2023</t>
  </si>
  <si>
    <t>06-Jan-2023</t>
  </si>
  <si>
    <t>09-Jan-2023</t>
  </si>
  <si>
    <t>10-Jan-2023</t>
  </si>
  <si>
    <t>11-Jan-2023</t>
  </si>
  <si>
    <t>12-Jan-2023</t>
  </si>
  <si>
    <t>13-Jan-2023</t>
  </si>
  <si>
    <t>16-Jan-2023</t>
  </si>
  <si>
    <t>17-Jan-2023</t>
  </si>
  <si>
    <t>18-Jan-2023</t>
  </si>
  <si>
    <t>19-Jan-2023</t>
  </si>
  <si>
    <t>20-Jan-2023</t>
  </si>
  <si>
    <t>23-Jan-2023</t>
  </si>
  <si>
    <t>24-Jan-2023</t>
  </si>
  <si>
    <t>25-Jan-2023</t>
  </si>
  <si>
    <t>27-Jan-2023</t>
  </si>
  <si>
    <t>30-Jan-2023</t>
  </si>
  <si>
    <t>31-Jan-2023</t>
  </si>
  <si>
    <t>01-Feb-2023</t>
  </si>
  <si>
    <t>02-Feb-2023</t>
  </si>
  <si>
    <t>03-Feb-2023</t>
  </si>
  <si>
    <t>06-Feb-2023</t>
  </si>
  <si>
    <t>07-Feb-2023</t>
  </si>
  <si>
    <t>08-Feb-2023</t>
  </si>
  <si>
    <t>09-Feb-2023</t>
  </si>
  <si>
    <t>10-Feb-2023</t>
  </si>
  <si>
    <t>13-Feb-2023</t>
  </si>
  <si>
    <t>14-Feb-2023</t>
  </si>
  <si>
    <t>15-Feb-2023</t>
  </si>
  <si>
    <t>16-Feb-2023</t>
  </si>
  <si>
    <t>17-Feb-2023</t>
  </si>
  <si>
    <t>20-Feb-2023</t>
  </si>
  <si>
    <t>21-Feb-2023</t>
  </si>
  <si>
    <t>22-Feb-2023</t>
  </si>
  <si>
    <t>23-Feb-2023</t>
  </si>
  <si>
    <t>24-Feb-2023</t>
  </si>
  <si>
    <t>27-Feb-2023</t>
  </si>
  <si>
    <t>28-Feb-2023</t>
  </si>
  <si>
    <t>01-Mar-2023</t>
  </si>
  <si>
    <t>02-Mar-2023</t>
  </si>
  <si>
    <t>03-Mar-2023</t>
  </si>
  <si>
    <t>06-Mar-2023</t>
  </si>
  <si>
    <t>07-Mar-2023</t>
  </si>
  <si>
    <t>08-Mar-2023</t>
  </si>
  <si>
    <t>09-Mar-2023</t>
  </si>
  <si>
    <t>10-Mar-2023</t>
  </si>
  <si>
    <t>13-Mar-2023</t>
  </si>
  <si>
    <t>14-Mar-2023</t>
  </si>
  <si>
    <t>15-Mar-2023</t>
  </si>
  <si>
    <t>16-Mar-2023</t>
  </si>
  <si>
    <t>17-Mar-2023</t>
  </si>
  <si>
    <t>20-Mar-2023</t>
  </si>
  <si>
    <t>21-Mar-2023</t>
  </si>
  <si>
    <t>22-Mar-2023</t>
  </si>
  <si>
    <t>23-Mar-2023</t>
  </si>
  <si>
    <t>24-Mar-2023</t>
  </si>
  <si>
    <t>27-Mar-2023</t>
  </si>
  <si>
    <t>28-Mar-2023</t>
  </si>
  <si>
    <t>29-Mar-2023</t>
  </si>
  <si>
    <t>30-Mar-2023</t>
  </si>
  <si>
    <t>31-Mar-2023</t>
  </si>
  <si>
    <t>03-Apr-2023</t>
  </si>
  <si>
    <t>04-Apr-2023</t>
  </si>
  <si>
    <t>05-Apr-2023</t>
  </si>
  <si>
    <t>06-Apr-2023</t>
  </si>
  <si>
    <t>11-Apr-2023</t>
  </si>
  <si>
    <t>12-Apr-2023</t>
  </si>
  <si>
    <t>13-Apr-2023</t>
  </si>
  <si>
    <t>14-Apr-2023</t>
  </si>
  <si>
    <t>17-Apr-2023</t>
  </si>
  <si>
    <t>18-Apr-2023</t>
  </si>
  <si>
    <t>19-Apr-2023</t>
  </si>
  <si>
    <t>20-Apr-2023</t>
  </si>
  <si>
    <t>21-Apr-2023</t>
  </si>
  <si>
    <t>24-Apr-2023</t>
  </si>
  <si>
    <t>26-Apr-2023</t>
  </si>
  <si>
    <t>27-Apr-2023</t>
  </si>
  <si>
    <t>28-Apr-2023</t>
  </si>
  <si>
    <t>01-May-2023</t>
  </si>
  <si>
    <t>02-May-2023</t>
  </si>
  <si>
    <t>03-May-2023</t>
  </si>
  <si>
    <t>04-May-2023</t>
  </si>
  <si>
    <t>05-May-2023</t>
  </si>
  <si>
    <t>08-May-2023</t>
  </si>
  <si>
    <t>09-May-2023</t>
  </si>
  <si>
    <t>10-May-2023</t>
  </si>
  <si>
    <t>11-May-2023</t>
  </si>
  <si>
    <t>12-May-2023</t>
  </si>
  <si>
    <t>15-May-2023</t>
  </si>
  <si>
    <t>16-May-2023</t>
  </si>
  <si>
    <t>17-May-2023</t>
  </si>
  <si>
    <t>18-May-2023</t>
  </si>
  <si>
    <t>19-May-2023</t>
  </si>
  <si>
    <t>22-May-2023</t>
  </si>
  <si>
    <t>23-May-2023</t>
  </si>
  <si>
    <t>24-May-2023</t>
  </si>
  <si>
    <t>25-May-2023</t>
  </si>
  <si>
    <t>26-May-2023</t>
  </si>
  <si>
    <t>29-May-2023</t>
  </si>
  <si>
    <t>30-May-2023</t>
  </si>
  <si>
    <t>31-May-2023</t>
  </si>
  <si>
    <t>01-Jun-2023</t>
  </si>
  <si>
    <t>02-Jun-2023</t>
  </si>
  <si>
    <t>05-Jun-2023</t>
  </si>
  <si>
    <t>06-Jun-2023</t>
  </si>
  <si>
    <t>07-Jun-2023</t>
  </si>
  <si>
    <t>08-Jun-2023</t>
  </si>
  <si>
    <t>09-Jun-2023</t>
  </si>
  <si>
    <t>13-Jun-2023</t>
  </si>
  <si>
    <t>14-Jun-2023</t>
  </si>
  <si>
    <t>15-Jun-2023</t>
  </si>
  <si>
    <t>16-Jun-2023</t>
  </si>
  <si>
    <t>19-Jun-2023</t>
  </si>
  <si>
    <t>20-Jun-2023</t>
  </si>
  <si>
    <t>21-Jun-2023</t>
  </si>
  <si>
    <t>22-Jun-2023</t>
  </si>
  <si>
    <t>23-Jun-2023</t>
  </si>
  <si>
    <t>26-Jun-2023</t>
  </si>
  <si>
    <t>27-Jun-2023</t>
  </si>
  <si>
    <t>28-Jun-2023</t>
  </si>
  <si>
    <t>29-Jun-2023</t>
  </si>
  <si>
    <t>30-Jun-2023</t>
  </si>
  <si>
    <t>03-Jul-2023</t>
  </si>
  <si>
    <t>04-Jul-2023</t>
  </si>
  <si>
    <t>05-Jul-2023</t>
  </si>
  <si>
    <t>06-Jul-2023</t>
  </si>
  <si>
    <t>07-Jul-2023</t>
  </si>
  <si>
    <t>10-Jul-2023</t>
  </si>
  <si>
    <t>11-Jul-2023</t>
  </si>
  <si>
    <t>12-Jul-2023</t>
  </si>
  <si>
    <t>13-Jul-2023</t>
  </si>
  <si>
    <t>14-Jul-2023</t>
  </si>
  <si>
    <t>17-Jul-2023</t>
  </si>
  <si>
    <t>18-Jul-2023</t>
  </si>
  <si>
    <t>19-Jul-2023</t>
  </si>
  <si>
    <t>20-Jul-2023</t>
  </si>
  <si>
    <t>21-Jul-2023</t>
  </si>
  <si>
    <t>24-Jul-2023</t>
  </si>
  <si>
    <t>25-Jul-2023</t>
  </si>
  <si>
    <t>26-Jul-2023</t>
  </si>
  <si>
    <t>27-Jul-2023</t>
  </si>
  <si>
    <t>28-Jul-2023</t>
  </si>
  <si>
    <t>31-Jul-2023</t>
  </si>
  <si>
    <t>01-Aug-2023</t>
  </si>
  <si>
    <t>02-Aug-2023</t>
  </si>
  <si>
    <t>03-Aug-2023</t>
  </si>
  <si>
    <t>04-Aug-2023</t>
  </si>
  <si>
    <t>07-Aug-2023</t>
  </si>
  <si>
    <t>08-Aug-2023</t>
  </si>
  <si>
    <t>09-Aug-2023</t>
  </si>
  <si>
    <t>10-Aug-2023</t>
  </si>
  <si>
    <t>11-Aug-2023</t>
  </si>
  <si>
    <t>14-Aug-2023</t>
  </si>
  <si>
    <t>15-Aug-2023</t>
  </si>
  <si>
    <t>16-Aug-2023</t>
  </si>
  <si>
    <t>17-Aug-2023</t>
  </si>
  <si>
    <t>18-Aug-2023</t>
  </si>
  <si>
    <t>21-Aug-2023</t>
  </si>
  <si>
    <t>22-Aug-2023</t>
  </si>
  <si>
    <t>23-Aug-2023</t>
  </si>
  <si>
    <t>24-Aug-2023</t>
  </si>
  <si>
    <t>25-Aug-2023</t>
  </si>
  <si>
    <t>28-Aug-2023</t>
  </si>
  <si>
    <t>29-Aug-2023</t>
  </si>
  <si>
    <t>30-Aug-2023</t>
  </si>
  <si>
    <t>31-Aug-2023</t>
  </si>
  <si>
    <t>01-Sep-2023</t>
  </si>
  <si>
    <t>04-Sep-2023</t>
  </si>
  <si>
    <t>05-Sep-2023</t>
  </si>
  <si>
    <t>06-Sep-2023</t>
  </si>
  <si>
    <t>07-Sep-2023</t>
  </si>
  <si>
    <t>08-Sep-2023</t>
  </si>
  <si>
    <t>11-Sep-2023</t>
  </si>
  <si>
    <t>12-Sep-2023</t>
  </si>
  <si>
    <t>13-Sep-2023</t>
  </si>
  <si>
    <t>14-Sep-2023</t>
  </si>
  <si>
    <t>15-Sep-2023</t>
  </si>
  <si>
    <t>18-Sep-2023</t>
  </si>
  <si>
    <t>19-Sep-2023</t>
  </si>
  <si>
    <t>20-Sep-2023</t>
  </si>
  <si>
    <t>21-Sep-2023</t>
  </si>
  <si>
    <t>22-Sep-2023</t>
  </si>
  <si>
    <t>25-Sep-2023</t>
  </si>
  <si>
    <t>26-Sep-2023</t>
  </si>
  <si>
    <t>27-Sep-2023</t>
  </si>
  <si>
    <t>28-Sep-2023</t>
  </si>
  <si>
    <t>29-Sep-2023</t>
  </si>
  <si>
    <t>03-Oct-2023</t>
  </si>
  <si>
    <t>04-Oct-2023</t>
  </si>
  <si>
    <t>05-Oct-2023</t>
  </si>
  <si>
    <t>06-Oct-2023</t>
  </si>
  <si>
    <t>09-Oct-2023</t>
  </si>
  <si>
    <t>10-Oct-2023</t>
  </si>
  <si>
    <t>11-Oct-2023</t>
  </si>
  <si>
    <t>12-Oct-2023</t>
  </si>
  <si>
    <t>13-Oct-2023</t>
  </si>
  <si>
    <t>16-Oct-2023</t>
  </si>
  <si>
    <t>17-Oct-2023</t>
  </si>
  <si>
    <t>18-Oct-2023</t>
  </si>
  <si>
    <t>19-Oct-2023</t>
  </si>
  <si>
    <t>20-Oct-2023</t>
  </si>
  <si>
    <t>23-Oct-2023</t>
  </si>
  <si>
    <t>24-Oct-2023</t>
  </si>
  <si>
    <t>25-Oct-2023</t>
  </si>
  <si>
    <t>26-Oct-2023</t>
  </si>
  <si>
    <t>27-Oct-2023</t>
  </si>
  <si>
    <t>30-Oct-2023</t>
  </si>
  <si>
    <t>31-Oct-2023</t>
  </si>
  <si>
    <t>01-Nov-2023</t>
  </si>
  <si>
    <t>02-Nov-2023</t>
  </si>
  <si>
    <t>03-Nov-2023</t>
  </si>
  <si>
    <t>06-Nov-2023</t>
  </si>
  <si>
    <t>07-Nov-2023</t>
  </si>
  <si>
    <t>08-Nov-2023</t>
  </si>
  <si>
    <t>09-Nov-2023</t>
  </si>
  <si>
    <t>10-Nov-2023</t>
  </si>
  <si>
    <t>13-Nov-2023</t>
  </si>
  <si>
    <t>14-Nov-2023</t>
  </si>
  <si>
    <t>15-Nov-2023</t>
  </si>
  <si>
    <t>16-Nov-2023</t>
  </si>
  <si>
    <t>17-Nov-2023</t>
  </si>
  <si>
    <t>20-Nov-2023</t>
  </si>
  <si>
    <t>21-Nov-2023</t>
  </si>
  <si>
    <t>22-Nov-2023</t>
  </si>
  <si>
    <t>23-Nov-2023</t>
  </si>
  <si>
    <t>24-Nov-2023</t>
  </si>
  <si>
    <t>27-Nov-2023</t>
  </si>
  <si>
    <t>28-Nov-2023</t>
  </si>
  <si>
    <t>29-Nov-2023</t>
  </si>
  <si>
    <t>30-Nov-2023</t>
  </si>
  <si>
    <t>01-Dec-2023</t>
  </si>
  <si>
    <t>04-Dec-2023</t>
  </si>
  <si>
    <t>05-Dec-2023</t>
  </si>
  <si>
    <t>06-Dec-2023</t>
  </si>
  <si>
    <t>07-Dec-2023</t>
  </si>
  <si>
    <t>08-Dec-2023</t>
  </si>
  <si>
    <t>11-Dec-2023</t>
  </si>
  <si>
    <t>12-Dec-2023</t>
  </si>
  <si>
    <t>13-Dec-2023</t>
  </si>
  <si>
    <t>14-Dec-2023</t>
  </si>
  <si>
    <t>15-Dec-2023</t>
  </si>
  <si>
    <t>18-Dec-2023</t>
  </si>
  <si>
    <t>19-Dec-2023</t>
  </si>
  <si>
    <t>20-Dec-2023</t>
  </si>
  <si>
    <t>21-Dec-2023</t>
  </si>
  <si>
    <t>22-Dec-2023</t>
  </si>
  <si>
    <t>27-Dec-2023</t>
  </si>
  <si>
    <t>28-Dec-2023</t>
  </si>
  <si>
    <t>29-Dec-2023</t>
  </si>
  <si>
    <t>02-Jan-2024</t>
  </si>
  <si>
    <t>03-Jan-2024</t>
  </si>
  <si>
    <t>04-Jan-2024</t>
  </si>
  <si>
    <t>05-Jan-2024</t>
  </si>
  <si>
    <t>08-Jan-2024</t>
  </si>
  <si>
    <t>09-Jan-2024</t>
  </si>
  <si>
    <t>10-Jan-2024</t>
  </si>
  <si>
    <t>11-Jan-2024</t>
  </si>
  <si>
    <t>12-Jan-2024</t>
  </si>
  <si>
    <t>15-Jan-2024</t>
  </si>
  <si>
    <t>16-Jan-2024</t>
  </si>
  <si>
    <t>17-Jan-2024</t>
  </si>
  <si>
    <t>18-Jan-2024</t>
  </si>
  <si>
    <t>19-Jan-2024</t>
  </si>
  <si>
    <t>22-Jan-2024</t>
  </si>
  <si>
    <t>23-Jan-2024</t>
  </si>
  <si>
    <t>24-Jan-2024</t>
  </si>
  <si>
    <t>25-Jan-2024</t>
  </si>
  <si>
    <t>29-Jan-2024</t>
  </si>
  <si>
    <t>30-Jan-2024</t>
  </si>
  <si>
    <t>31-Jan-2024</t>
  </si>
  <si>
    <t>01-Feb-2024</t>
  </si>
  <si>
    <t>02-Feb-2024</t>
  </si>
  <si>
    <t>05-Feb-2024</t>
  </si>
  <si>
    <t>06-Feb-2024</t>
  </si>
  <si>
    <t>07-Feb-2024</t>
  </si>
  <si>
    <t>08-Feb-2024</t>
  </si>
  <si>
    <t>09-Feb-2024</t>
  </si>
  <si>
    <t>12-Feb-2024</t>
  </si>
  <si>
    <t>13-Feb-2024</t>
  </si>
  <si>
    <t>14-Feb-2024</t>
  </si>
  <si>
    <t>15-Feb-2024</t>
  </si>
  <si>
    <t>16-Feb-2024</t>
  </si>
  <si>
    <t>19-Feb-2024</t>
  </si>
  <si>
    <t>20-Feb-2024</t>
  </si>
  <si>
    <t>21-Feb-2024</t>
  </si>
  <si>
    <t>22-Feb-2024</t>
  </si>
  <si>
    <t>23-Feb-2024</t>
  </si>
  <si>
    <t>26-Feb-2024</t>
  </si>
  <si>
    <t>27-Feb-2024</t>
  </si>
  <si>
    <t>28-Feb-2024</t>
  </si>
  <si>
    <t>29-Feb-2024</t>
  </si>
  <si>
    <t>01-Mar-2024</t>
  </si>
  <si>
    <t>04-Mar-2024</t>
  </si>
  <si>
    <t>05-Mar-2024</t>
  </si>
  <si>
    <t>06-Mar-2024</t>
  </si>
  <si>
    <t>07-Mar-2024</t>
  </si>
  <si>
    <t>08-Mar-2024</t>
  </si>
  <si>
    <t>11-Mar-2024</t>
  </si>
  <si>
    <t>12-Mar-2024</t>
  </si>
  <si>
    <t>13-Mar-2024</t>
  </si>
  <si>
    <t>14-Mar-2024</t>
  </si>
  <si>
    <t>15-Mar-2024</t>
  </si>
  <si>
    <t>18-Mar-2024</t>
  </si>
  <si>
    <t>19-Mar-2024</t>
  </si>
  <si>
    <t>20-Mar-2024</t>
  </si>
  <si>
    <t>21-Mar-2024</t>
  </si>
  <si>
    <t>22-Mar-2024</t>
  </si>
  <si>
    <t>25-Mar-2024</t>
  </si>
  <si>
    <t>26-Mar-2024</t>
  </si>
  <si>
    <t>27-Mar-2024</t>
  </si>
  <si>
    <t>28-Mar-2024</t>
  </si>
  <si>
    <t>02-Apr-2024</t>
  </si>
  <si>
    <t>03-Apr-2024</t>
  </si>
  <si>
    <t>04-Apr-2024</t>
  </si>
  <si>
    <t>05-Apr-2024</t>
  </si>
  <si>
    <t>08-Apr-2024</t>
  </si>
  <si>
    <t>09-Apr-2024</t>
  </si>
  <si>
    <t>10-Apr-2024</t>
  </si>
  <si>
    <t>11-Apr-2024</t>
  </si>
  <si>
    <t>12-Apr-2024</t>
  </si>
  <si>
    <t>15-Apr-2024</t>
  </si>
  <si>
    <t>16-Apr-2024</t>
  </si>
  <si>
    <t>17-Apr-2024</t>
  </si>
  <si>
    <t>18-Apr-2024</t>
  </si>
  <si>
    <t>19-Apr-2024</t>
  </si>
  <si>
    <t>22-Apr-2024</t>
  </si>
  <si>
    <t>23-Apr-2024</t>
  </si>
  <si>
    <t>24-Apr-2024</t>
  </si>
  <si>
    <t>26-Apr-2024</t>
  </si>
  <si>
    <t>29-Apr-2024</t>
  </si>
  <si>
    <t>30-Apr-2024</t>
  </si>
  <si>
    <t>01-May-2024</t>
  </si>
  <si>
    <t>02-May-2024</t>
  </si>
  <si>
    <t>03-May-2024</t>
  </si>
  <si>
    <t>06-May-2024</t>
  </si>
  <si>
    <t>07-May-2024</t>
  </si>
  <si>
    <t>08-May-2024</t>
  </si>
  <si>
    <t>09-May-2024</t>
  </si>
  <si>
    <t>10-May-2024</t>
  </si>
  <si>
    <t>13-May-2024</t>
  </si>
  <si>
    <t>14-May-2024</t>
  </si>
  <si>
    <t>15-May-2024</t>
  </si>
  <si>
    <t>16-May-2024</t>
  </si>
  <si>
    <t>17-May-2024</t>
  </si>
  <si>
    <t>20-May-2024</t>
  </si>
  <si>
    <t>21-May-2024</t>
  </si>
  <si>
    <t>22-May-2024</t>
  </si>
  <si>
    <t>23-May-2024</t>
  </si>
  <si>
    <t>24-May-2024</t>
  </si>
  <si>
    <t>27-May-2024</t>
  </si>
  <si>
    <t>28-May-2024</t>
  </si>
  <si>
    <t>29-May-2024</t>
  </si>
  <si>
    <t>30-May-2024</t>
  </si>
  <si>
    <t>31-May-2024</t>
  </si>
  <si>
    <t>03-Jun-2024</t>
  </si>
  <si>
    <t>04-Jun-2024</t>
  </si>
  <si>
    <t>05-Jun-2024</t>
  </si>
  <si>
    <t>06-Jun-2024</t>
  </si>
  <si>
    <t>07-Jun-2024</t>
  </si>
  <si>
    <t>11-Jun-2024</t>
  </si>
  <si>
    <t>12-Jun-2024</t>
  </si>
  <si>
    <t>13-Jun-2024</t>
  </si>
  <si>
    <t>14-Jun-2024</t>
  </si>
  <si>
    <t>17-Jun-2024</t>
  </si>
  <si>
    <t>18-Jun-2024</t>
  </si>
  <si>
    <t>19-Jun-2024</t>
  </si>
  <si>
    <t>20-Jun-2024</t>
  </si>
  <si>
    <t>21-Jun-2024</t>
  </si>
  <si>
    <t>24-Jun-2024</t>
  </si>
  <si>
    <t>25-Jun-2024</t>
  </si>
  <si>
    <t>26-Jun-2024</t>
  </si>
  <si>
    <t>27-Jun-2024</t>
  </si>
  <si>
    <t>28-Jun-2024</t>
  </si>
  <si>
    <t>01-Jul-2024</t>
  </si>
  <si>
    <t>02-Jul-2024</t>
  </si>
  <si>
    <t>03-Jul-2024</t>
  </si>
  <si>
    <t>04-Jul-2024</t>
  </si>
  <si>
    <t>05-Jul-2024</t>
  </si>
  <si>
    <t>08-Jul-2024</t>
  </si>
  <si>
    <t>09-Jul-2024</t>
  </si>
  <si>
    <t>10-Jul-2024</t>
  </si>
  <si>
    <t>11-Jul-2024</t>
  </si>
  <si>
    <t>12-Jul-2024</t>
  </si>
  <si>
    <t>15-Jul-2024</t>
  </si>
  <si>
    <t>16-Jul-2024</t>
  </si>
  <si>
    <t>17-Jul-2024</t>
  </si>
  <si>
    <t>18-Jul-2024</t>
  </si>
  <si>
    <t>19-Jul-2024</t>
  </si>
  <si>
    <t>22-Jul-2024</t>
  </si>
  <si>
    <t>23-Jul-2024</t>
  </si>
  <si>
    <t>24-Jul-2024</t>
  </si>
  <si>
    <t>25-Jul-2024</t>
  </si>
  <si>
    <t>26-Jul-2024</t>
  </si>
  <si>
    <t>29-Jul-2024</t>
  </si>
  <si>
    <t>30-Jul-2024</t>
  </si>
  <si>
    <t>31-Jul-2024</t>
  </si>
  <si>
    <t>01-Aug-2024</t>
  </si>
  <si>
    <t>02-Aug-2024</t>
  </si>
  <si>
    <t>05-Aug-2024</t>
  </si>
  <si>
    <t>06-Aug-2024</t>
  </si>
  <si>
    <t>07-Aug-2024</t>
  </si>
  <si>
    <t>08-Aug-2024</t>
  </si>
  <si>
    <t>09-Aug-2024</t>
  </si>
  <si>
    <t>12-Aug-2024</t>
  </si>
  <si>
    <t>13-Aug-2024</t>
  </si>
  <si>
    <t>14-Aug-2024</t>
  </si>
  <si>
    <t>15-Aug-2024</t>
  </si>
  <si>
    <t>16-Aug-2024</t>
  </si>
  <si>
    <t>19-Aug-2024</t>
  </si>
  <si>
    <t>20-Aug-2024</t>
  </si>
  <si>
    <t>21-Aug-2024</t>
  </si>
  <si>
    <t>22-Aug-2024</t>
  </si>
  <si>
    <t>23-Aug-2024</t>
  </si>
  <si>
    <t>26-Aug-2024</t>
  </si>
  <si>
    <t>27-Aug-2024</t>
  </si>
  <si>
    <t>28-Aug-2024</t>
  </si>
  <si>
    <t>29-Aug-2024</t>
  </si>
  <si>
    <t>30-Aug-2024</t>
  </si>
  <si>
    <t>02-Sep-2024</t>
  </si>
  <si>
    <t>03-Sep-2024</t>
  </si>
  <si>
    <t>04-Sep-2024</t>
  </si>
  <si>
    <t>05-Sep-2024</t>
  </si>
  <si>
    <t>06-Sep-2024</t>
  </si>
  <si>
    <t>09-Sep-2024</t>
  </si>
  <si>
    <t>10-Sep-2024</t>
  </si>
  <si>
    <t>11-Sep-2024</t>
  </si>
  <si>
    <t>12-Sep-2024</t>
  </si>
  <si>
    <t>13-Sep-2024</t>
  </si>
  <si>
    <t>16-Sep-2024</t>
  </si>
  <si>
    <t>17-Sep-2024</t>
  </si>
  <si>
    <t>18-Sep-2024</t>
  </si>
  <si>
    <t>19-Sep-2024</t>
  </si>
  <si>
    <t>20-Sep-2024</t>
  </si>
  <si>
    <t>23-Sep-2024</t>
  </si>
  <si>
    <t>24-Sep-2024</t>
  </si>
  <si>
    <t>25-Sep-2024</t>
  </si>
  <si>
    <t>26-Sep-2024</t>
  </si>
  <si>
    <t>27-Sep-2024</t>
  </si>
  <si>
    <t>30-Sep-2024</t>
  </si>
  <si>
    <t>01-Oct-2024</t>
  </si>
  <si>
    <t>02-Oct-2024</t>
  </si>
  <si>
    <t>03-Oct-2024</t>
  </si>
  <si>
    <t>04-Oct-2024</t>
  </si>
  <si>
    <t>08-Oct-2024</t>
  </si>
  <si>
    <t>09-Oct-2024</t>
  </si>
  <si>
    <t>10-Oct-2024</t>
  </si>
  <si>
    <t>11-Oct-2024</t>
  </si>
  <si>
    <t>14-Oct-2024</t>
  </si>
  <si>
    <t>15-Oct-2024</t>
  </si>
  <si>
    <t>16-Oct-2024</t>
  </si>
  <si>
    <t>17-Oct-2024</t>
  </si>
  <si>
    <t>18-Oct-2024</t>
  </si>
  <si>
    <t>21-Oct-2024</t>
  </si>
  <si>
    <t>22-Oct-2024</t>
  </si>
  <si>
    <t>23-Oct-2024</t>
  </si>
  <si>
    <t>24-Oct-2024</t>
  </si>
  <si>
    <t>25-Oct-2024</t>
  </si>
  <si>
    <t>28-Oct-2024</t>
  </si>
  <si>
    <t>29-Oct-2024</t>
  </si>
  <si>
    <t>30-Oct-2024</t>
  </si>
  <si>
    <t>31-Oct-2024</t>
  </si>
  <si>
    <t>01-Nov-2024</t>
  </si>
  <si>
    <t>04-Nov-2024</t>
  </si>
  <si>
    <t>05-Nov-2024</t>
  </si>
  <si>
    <t>06-Nov-2024</t>
  </si>
  <si>
    <t>07-Nov-2024</t>
  </si>
  <si>
    <t>08-Nov-2024</t>
  </si>
  <si>
    <t>11-Nov-2024</t>
  </si>
  <si>
    <t>12-Nov-2024</t>
  </si>
  <si>
    <t>13-Nov-2024</t>
  </si>
  <si>
    <t>14-Nov-2024</t>
  </si>
  <si>
    <t>15-Nov-2024</t>
  </si>
  <si>
    <t>18-Nov-2024</t>
  </si>
  <si>
    <t>19-Nov-2024</t>
  </si>
  <si>
    <t>20-Nov-2024</t>
  </si>
  <si>
    <t>21-Nov-2024</t>
  </si>
  <si>
    <t>22-Nov-2024</t>
  </si>
  <si>
    <t>25-Nov-2024</t>
  </si>
  <si>
    <t>26-Nov-2024</t>
  </si>
  <si>
    <t>27-Nov-2024</t>
  </si>
  <si>
    <t>28-Nov-2024</t>
  </si>
  <si>
    <t>29-Nov-2024</t>
  </si>
  <si>
    <t>02-Dec-2024</t>
  </si>
  <si>
    <t>03-Dec-2024</t>
  </si>
  <si>
    <t>04-Dec-2024</t>
  </si>
  <si>
    <t>05-Dec-2024</t>
  </si>
  <si>
    <t>06-Dec-2024</t>
  </si>
  <si>
    <t>09-Dec-2024</t>
  </si>
  <si>
    <t>10-Dec-2024</t>
  </si>
  <si>
    <t>11-Dec-2024</t>
  </si>
  <si>
    <t>12-Dec-2024</t>
  </si>
  <si>
    <t>13-Dec-2024</t>
  </si>
  <si>
    <t>16-Dec-2024</t>
  </si>
  <si>
    <t>17-Dec-2024</t>
  </si>
  <si>
    <t>18-Dec-2024</t>
  </si>
  <si>
    <t>19-Dec-2024</t>
  </si>
  <si>
    <t>20-Dec-2024</t>
  </si>
  <si>
    <t>23-Dec-2024</t>
  </si>
  <si>
    <t>24-Dec-2024</t>
  </si>
  <si>
    <t>27-Dec-2024</t>
  </si>
  <si>
    <t>30-Dec-2024</t>
  </si>
  <si>
    <t>31-Dec-2024</t>
  </si>
  <si>
    <t>02-Jan-2025</t>
  </si>
  <si>
    <t>03-Jan-2025</t>
  </si>
  <si>
    <t>06-Jan-2025</t>
  </si>
  <si>
    <t>07-Jan-2025</t>
  </si>
  <si>
    <t>08-Jan-2025</t>
  </si>
  <si>
    <t>09-Jan-2025</t>
  </si>
  <si>
    <t>10-Jan-2025</t>
  </si>
  <si>
    <t>13-Jan-2025</t>
  </si>
  <si>
    <t>14-Jan-2025</t>
  </si>
  <si>
    <t>15-Jan-2025</t>
  </si>
  <si>
    <t>16-Jan-2025</t>
  </si>
  <si>
    <t>17-Jan-2025</t>
  </si>
  <si>
    <t>20-Jan-2025</t>
  </si>
  <si>
    <t>21-Jan-2025</t>
  </si>
  <si>
    <t>22-Jan-2025</t>
  </si>
  <si>
    <t>23-Jan-2025</t>
  </si>
  <si>
    <t>24-Jan-2025</t>
  </si>
  <si>
    <t>28-Jan-2025</t>
  </si>
  <si>
    <t>29-Jan-2025</t>
  </si>
  <si>
    <t>30-Jan-2025</t>
  </si>
  <si>
    <t>31-Jan-2025</t>
  </si>
  <si>
    <t>03-Feb-2025</t>
  </si>
  <si>
    <t>04-Feb-2025</t>
  </si>
  <si>
    <t>05-Feb-2025</t>
  </si>
  <si>
    <t>06-Feb-2025</t>
  </si>
  <si>
    <t>07-Feb-2025</t>
  </si>
  <si>
    <t>10-Feb-2025</t>
  </si>
  <si>
    <t>11-Feb-2025</t>
  </si>
  <si>
    <t>12-Feb-2025</t>
  </si>
  <si>
    <t>13-Feb-2025</t>
  </si>
  <si>
    <t>14-Feb-2025</t>
  </si>
  <si>
    <t>17-Feb-2025</t>
  </si>
  <si>
    <t>18-Feb-2025</t>
  </si>
  <si>
    <t>19-Feb-2025</t>
  </si>
  <si>
    <t>20-Feb-2025</t>
  </si>
  <si>
    <t>21-Feb-2025</t>
  </si>
  <si>
    <t>24-Feb-2025</t>
  </si>
  <si>
    <t>25-Feb-2025</t>
  </si>
  <si>
    <t>26-Feb-2025</t>
  </si>
  <si>
    <t>27-Feb-2025</t>
  </si>
  <si>
    <t>28-Feb-2025</t>
  </si>
  <si>
    <t>03-Mar-2025</t>
  </si>
  <si>
    <t>04-Mar-2025</t>
  </si>
  <si>
    <t>05-Mar-2025</t>
  </si>
  <si>
    <t>06-Mar-2025</t>
  </si>
  <si>
    <t>07-Mar-2025</t>
  </si>
  <si>
    <t>10-Mar-2025</t>
  </si>
  <si>
    <t>11-Mar-2025</t>
  </si>
  <si>
    <t>12-Mar-2025</t>
  </si>
  <si>
    <t>13-Mar-2025</t>
  </si>
  <si>
    <t>14-Mar-2025</t>
  </si>
  <si>
    <t>17-Mar-2025</t>
  </si>
  <si>
    <t>18-Mar-2025</t>
  </si>
  <si>
    <t>19-Mar-2025</t>
  </si>
  <si>
    <t>20-Mar-2025</t>
  </si>
  <si>
    <t>21-Mar-2025</t>
  </si>
  <si>
    <t>24-Mar-2025</t>
  </si>
  <si>
    <t>25-Mar-2025</t>
  </si>
  <si>
    <t>26-Mar-2025</t>
  </si>
  <si>
    <t>27-Mar-2025</t>
  </si>
  <si>
    <t>28-Mar-2025</t>
  </si>
  <si>
    <t>31-Mar-2025</t>
  </si>
  <si>
    <t>01-Apr-2025</t>
  </si>
  <si>
    <t>02-Apr-2025</t>
  </si>
  <si>
    <t>03-Apr-2025</t>
  </si>
  <si>
    <t>04-Apr-2025</t>
  </si>
  <si>
    <t>07-Apr-2025</t>
  </si>
  <si>
    <t>08-Apr-2025</t>
  </si>
  <si>
    <t>09-Apr-2025</t>
  </si>
  <si>
    <t>Average Rate from 2-Jan-2025 ~ 09-Apr-2025</t>
  </si>
  <si>
    <t>JB Hi-Fi Ltd (JBH AU) - L#1518025</t>
  </si>
  <si>
    <t>WACC History</t>
  </si>
  <si>
    <t>Equity</t>
  </si>
  <si>
    <t>Cost of Equity</t>
  </si>
  <si>
    <t>WACC_COST_EQUITY</t>
  </si>
  <si>
    <t>Weight of Equity</t>
  </si>
  <si>
    <t>WACC_WEIGHT_OF_EQUITY</t>
  </si>
  <si>
    <t>+ Debt</t>
  </si>
  <si>
    <t>Cost of Debt</t>
  </si>
  <si>
    <t>WACC_COST_DEBT</t>
  </si>
  <si>
    <t>Weight of Debt</t>
  </si>
  <si>
    <t>WACC_WEIGHT_OF_DEBT</t>
  </si>
  <si>
    <t>+ Preferred Equity</t>
  </si>
  <si>
    <t>Cost of Pref. Equity</t>
  </si>
  <si>
    <t>WACC_COST_PFD</t>
  </si>
  <si>
    <t>Weight of Pref. Equity</t>
  </si>
  <si>
    <t>WACC_WEIGHT_OF_PREFERRED_EQUITY</t>
  </si>
  <si>
    <t>Capital Structure</t>
  </si>
  <si>
    <t>+ Historical Market Cap</t>
  </si>
  <si>
    <t>+ Short Term Debt</t>
  </si>
  <si>
    <t>+ Long Term Debt</t>
  </si>
  <si>
    <t>+ Preferred Equity and Hybrid Capital</t>
  </si>
  <si>
    <t>Total Capital</t>
  </si>
  <si>
    <t>WACC_TOTAL_CAPITAL</t>
  </si>
  <si>
    <t>EVA</t>
  </si>
  <si>
    <t>+ Net Op. Profit</t>
  </si>
  <si>
    <t>WACC_NET_OPER_PROFIT</t>
  </si>
  <si>
    <t>- Cash Op. Taxes</t>
  </si>
  <si>
    <t>WACC_CASH_OPER_TAXES</t>
  </si>
  <si>
    <t>+ NOPAT</t>
  </si>
  <si>
    <t>WACC_NOPAT</t>
  </si>
  <si>
    <t>Total Invested Capital</t>
  </si>
  <si>
    <t>WACC_TOTAL_INV_CAPITAL</t>
  </si>
  <si>
    <t>- Capital Charge</t>
  </si>
  <si>
    <t>WACC_CAPITAL_CHARGE</t>
  </si>
  <si>
    <t>Economic Value Added</t>
  </si>
  <si>
    <t>WACC_ECON_VALUE_ADDED</t>
  </si>
  <si>
    <t>ROIC</t>
  </si>
  <si>
    <t>WACC_RETURN_ON_INV_CAPITAL</t>
  </si>
  <si>
    <t>EVA Spread</t>
  </si>
  <si>
    <t>WACC_EVA_SPREAD</t>
  </si>
  <si>
    <t>Average WACC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</si>
</sst>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"/>
    <numFmt numFmtId="165" formatCode="0.00000"/>
    <numFmt numFmtId="166" formatCode="d\-mmm\-yyyy"/>
    <numFmt numFmtId="167" formatCode="dd\-mmm\-yyyy"/>
    <numFmt numFmtId="168" formatCode="#0.000"/>
    <numFmt numFmtId="169" formatCode="yyyy\-mm\-dd;@"/>
    <numFmt numFmtId="170" formatCode="0.000000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sz val="10"/>
      <color indexed="63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0"/>
      <color indexed="63"/>
      <name val="Arial"/>
      <family val="2"/>
    </font>
    <font>
      <i/>
      <sz val="10"/>
      <color indexed="8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10"/>
      <name val="Arial"/>
      <family val="2"/>
    </font>
    <font>
      <b/>
      <sz val="10"/>
      <color indexed="63"/>
      <name val="Arial"/>
      <family val="2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6">
    <xf numFmtId="0" fontId="0" fillId="0" borderId="0"/>
    <xf numFmtId="0" fontId="2" fillId="2" borderId="0"/>
    <xf numFmtId="0" fontId="3" fillId="2" borderId="1" applyNumberFormat="0" applyProtection="0">
      <alignment horizontal="left" vertical="center" readingOrder="1"/>
    </xf>
    <xf numFmtId="0" fontId="4" fillId="3" borderId="0" applyNumberFormat="0" applyBorder="0" applyProtection="0">
      <alignment horizontal="center"/>
    </xf>
    <xf numFmtId="0" fontId="5" fillId="2" borderId="2">
      <alignment horizontal="left"/>
    </xf>
    <xf numFmtId="0" fontId="5" fillId="2" borderId="2">
      <alignment horizontal="right"/>
    </xf>
    <xf numFmtId="0" fontId="5" fillId="2" borderId="3">
      <alignment horizontal="left"/>
    </xf>
    <xf numFmtId="0" fontId="5" fillId="2" borderId="3">
      <alignment horizontal="right"/>
    </xf>
    <xf numFmtId="0" fontId="6" fillId="3" borderId="4"/>
    <xf numFmtId="164" fontId="7" fillId="3" borderId="5">
      <alignment horizontal="right"/>
    </xf>
    <xf numFmtId="4" fontId="7" fillId="3" borderId="5">
      <alignment horizontal="right"/>
    </xf>
    <xf numFmtId="0" fontId="8" fillId="3" borderId="4"/>
    <xf numFmtId="3" fontId="8" fillId="3" borderId="5">
      <alignment horizontal="right"/>
    </xf>
    <xf numFmtId="3" fontId="7" fillId="3" borderId="5">
      <alignment horizontal="right"/>
    </xf>
    <xf numFmtId="164" fontId="8" fillId="3" borderId="5">
      <alignment horizontal="right"/>
    </xf>
    <xf numFmtId="0" fontId="9" fillId="3" borderId="4"/>
    <xf numFmtId="164" fontId="10" fillId="3" borderId="5">
      <alignment horizontal="right"/>
    </xf>
    <xf numFmtId="164" fontId="8" fillId="4" borderId="5">
      <alignment horizontal="right"/>
    </xf>
    <xf numFmtId="164" fontId="7" fillId="4" borderId="5">
      <alignment horizontal="right"/>
    </xf>
    <xf numFmtId="164" fontId="10" fillId="4" borderId="5">
      <alignment horizontal="right"/>
    </xf>
    <xf numFmtId="3" fontId="7" fillId="4" borderId="5">
      <alignment horizontal="right"/>
    </xf>
    <xf numFmtId="4" fontId="7" fillId="4" borderId="5">
      <alignment horizontal="right"/>
    </xf>
    <xf numFmtId="0" fontId="10" fillId="5" borderId="6" applyNumberFormat="0" applyAlignment="0" applyProtection="0"/>
    <xf numFmtId="3" fontId="8" fillId="4" borderId="5">
      <alignment horizontal="right"/>
    </xf>
    <xf numFmtId="0" fontId="16" fillId="0" borderId="0"/>
    <xf numFmtId="4" fontId="8" fillId="3" borderId="5">
      <alignment horizontal="right"/>
    </xf>
  </cellStyleXfs>
  <cellXfs count="80">
    <xf numFmtId="0" fontId="0" fillId="0" borderId="0" xfId="0"/>
    <xf numFmtId="0" fontId="2" fillId="2" borderId="0" xfId="1"/>
    <xf numFmtId="0" fontId="3" fillId="2" borderId="1" xfId="2">
      <alignment horizontal="left" vertical="center" readingOrder="1"/>
    </xf>
    <xf numFmtId="0" fontId="4" fillId="3" borderId="0" xfId="3">
      <alignment horizontal="center"/>
    </xf>
    <xf numFmtId="0" fontId="5" fillId="2" borderId="2" xfId="4">
      <alignment horizontal="left"/>
    </xf>
    <xf numFmtId="0" fontId="5" fillId="2" borderId="2" xfId="5">
      <alignment horizontal="right"/>
    </xf>
    <xf numFmtId="0" fontId="5" fillId="2" borderId="3" xfId="6">
      <alignment horizontal="left"/>
    </xf>
    <xf numFmtId="0" fontId="5" fillId="2" borderId="3" xfId="7">
      <alignment horizontal="right"/>
    </xf>
    <xf numFmtId="0" fontId="6" fillId="3" borderId="4" xfId="8"/>
    <xf numFmtId="164" fontId="7" fillId="3" borderId="5" xfId="9">
      <alignment horizontal="right"/>
    </xf>
    <xf numFmtId="4" fontId="7" fillId="3" borderId="5" xfId="10">
      <alignment horizontal="right"/>
    </xf>
    <xf numFmtId="0" fontId="8" fillId="3" borderId="4" xfId="11"/>
    <xf numFmtId="3" fontId="8" fillId="3" borderId="5" xfId="12">
      <alignment horizontal="right"/>
    </xf>
    <xf numFmtId="3" fontId="7" fillId="3" borderId="5" xfId="13">
      <alignment horizontal="right"/>
    </xf>
    <xf numFmtId="164" fontId="8" fillId="3" borderId="5" xfId="14">
      <alignment horizontal="right"/>
    </xf>
    <xf numFmtId="0" fontId="9" fillId="3" borderId="4" xfId="15"/>
    <xf numFmtId="164" fontId="10" fillId="3" borderId="5" xfId="16">
      <alignment horizontal="right"/>
    </xf>
    <xf numFmtId="164" fontId="8" fillId="4" borderId="5" xfId="17">
      <alignment horizontal="right"/>
    </xf>
    <xf numFmtId="164" fontId="7" fillId="4" borderId="5" xfId="18">
      <alignment horizontal="right"/>
    </xf>
    <xf numFmtId="164" fontId="10" fillId="4" borderId="5" xfId="19">
      <alignment horizontal="right"/>
    </xf>
    <xf numFmtId="3" fontId="7" fillId="4" borderId="5" xfId="20">
      <alignment horizontal="right"/>
    </xf>
    <xf numFmtId="4" fontId="7" fillId="4" borderId="5" xfId="21">
      <alignment horizontal="right"/>
    </xf>
    <xf numFmtId="0" fontId="11" fillId="0" borderId="0" xfId="0" applyFont="1" applyAlignment="1">
      <alignment horizontal="center"/>
    </xf>
    <xf numFmtId="0" fontId="12" fillId="0" borderId="0" xfId="0" applyFont="1"/>
    <xf numFmtId="14" fontId="12" fillId="0" borderId="0" xfId="0" applyNumberFormat="1" applyFont="1"/>
    <xf numFmtId="0" fontId="1" fillId="0" borderId="0" xfId="0" applyFont="1"/>
    <xf numFmtId="0" fontId="10" fillId="5" borderId="6" xfId="22"/>
    <xf numFmtId="0" fontId="0" fillId="0" borderId="7" xfId="0" applyBorder="1"/>
    <xf numFmtId="0" fontId="13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Continuous"/>
    </xf>
    <xf numFmtId="3" fontId="8" fillId="4" borderId="5" xfId="23">
      <alignment horizontal="right"/>
    </xf>
    <xf numFmtId="165" fontId="12" fillId="0" borderId="0" xfId="0" applyNumberFormat="1" applyFont="1"/>
    <xf numFmtId="166" fontId="15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0" fontId="17" fillId="0" borderId="0" xfId="24" applyFont="1" applyAlignment="1">
      <alignment horizontal="left" wrapText="1"/>
    </xf>
    <xf numFmtId="0" fontId="17" fillId="0" borderId="0" xfId="0" applyFont="1" applyAlignment="1">
      <alignment horizontal="left" wrapText="1"/>
    </xf>
    <xf numFmtId="0" fontId="18" fillId="0" borderId="0" xfId="0" applyFont="1" applyAlignment="1">
      <alignment horizontal="left" wrapText="1"/>
    </xf>
    <xf numFmtId="167" fontId="17" fillId="0" borderId="0" xfId="0" applyNumberFormat="1" applyFont="1" applyAlignment="1">
      <alignment horizontal="right"/>
    </xf>
    <xf numFmtId="168" fontId="17" fillId="0" borderId="0" xfId="0" applyNumberFormat="1" applyFont="1" applyAlignment="1">
      <alignment horizontal="right"/>
    </xf>
    <xf numFmtId="0" fontId="19" fillId="2" borderId="2" xfId="5" applyFont="1">
      <alignment horizontal="right"/>
    </xf>
    <xf numFmtId="0" fontId="19" fillId="2" borderId="3" xfId="7" applyFont="1">
      <alignment horizontal="right"/>
    </xf>
    <xf numFmtId="164" fontId="7" fillId="3" borderId="3" xfId="9" applyBorder="1">
      <alignment horizontal="right"/>
    </xf>
    <xf numFmtId="164" fontId="7" fillId="3" borderId="10" xfId="9" applyBorder="1">
      <alignment horizontal="right"/>
    </xf>
    <xf numFmtId="0" fontId="6" fillId="3" borderId="9" xfId="8" applyBorder="1"/>
    <xf numFmtId="164" fontId="8" fillId="3" borderId="11" xfId="14" applyBorder="1">
      <alignment horizontal="right"/>
    </xf>
    <xf numFmtId="0" fontId="0" fillId="0" borderId="9" xfId="0" applyBorder="1"/>
    <xf numFmtId="0" fontId="0" fillId="0" borderId="2" xfId="0" applyBorder="1"/>
    <xf numFmtId="0" fontId="8" fillId="3" borderId="12" xfId="11" applyBorder="1"/>
    <xf numFmtId="0" fontId="0" fillId="0" borderId="5" xfId="0" applyBorder="1"/>
    <xf numFmtId="0" fontId="8" fillId="3" borderId="13" xfId="11" applyBorder="1"/>
    <xf numFmtId="164" fontId="8" fillId="3" borderId="13" xfId="14" applyBorder="1">
      <alignment horizontal="right"/>
    </xf>
    <xf numFmtId="0" fontId="0" fillId="6" borderId="0" xfId="0" applyFill="1"/>
    <xf numFmtId="0" fontId="0" fillId="0" borderId="0" xfId="0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169" fontId="17" fillId="0" borderId="0" xfId="0" applyNumberFormat="1" applyFont="1" applyAlignment="1">
      <alignment horizontal="right"/>
    </xf>
    <xf numFmtId="168" fontId="0" fillId="0" borderId="0" xfId="0" applyNumberFormat="1"/>
    <xf numFmtId="4" fontId="8" fillId="3" borderId="5" xfId="25">
      <alignment horizontal="right"/>
    </xf>
    <xf numFmtId="4" fontId="0" fillId="0" borderId="0" xfId="0" applyNumberFormat="1"/>
    <xf numFmtId="0" fontId="1" fillId="0" borderId="0" xfId="0" applyFont="1" applyAlignment="1">
      <alignment horizontal="center" vertical="top"/>
    </xf>
    <xf numFmtId="4" fontId="8" fillId="3" borderId="5" xfId="10" applyFont="1" applyAlignment="1">
      <alignment horizontal="center" vertical="top"/>
    </xf>
    <xf numFmtId="164" fontId="8" fillId="3" borderId="5" xfId="9" applyFont="1" applyAlignment="1">
      <alignment horizontal="center" vertical="top"/>
    </xf>
    <xf numFmtId="164" fontId="8" fillId="3" borderId="5" xfId="14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0" fontId="8" fillId="3" borderId="4" xfId="11" applyAlignment="1">
      <alignment horizontal="center" vertical="top"/>
    </xf>
    <xf numFmtId="164" fontId="8" fillId="3" borderId="4" xfId="11" applyNumberFormat="1" applyAlignment="1">
      <alignment horizontal="center" vertical="top"/>
    </xf>
    <xf numFmtId="0" fontId="20" fillId="3" borderId="4" xfId="8" applyFont="1" applyAlignment="1">
      <alignment horizontal="center" vertical="top"/>
    </xf>
    <xf numFmtId="0" fontId="1" fillId="0" borderId="0" xfId="0" applyFont="1" applyAlignment="1">
      <alignment horizontal="center"/>
    </xf>
    <xf numFmtId="0" fontId="20" fillId="3" borderId="4" xfId="8" applyFont="1" applyAlignment="1">
      <alignment horizontal="center"/>
    </xf>
    <xf numFmtId="164" fontId="8" fillId="3" borderId="5" xfId="9" applyFont="1" applyAlignment="1">
      <alignment horizontal="center"/>
    </xf>
    <xf numFmtId="0" fontId="15" fillId="0" borderId="0" xfId="0" applyFont="1" applyAlignment="1">
      <alignment horizontal="center" wrapText="1"/>
    </xf>
    <xf numFmtId="168" fontId="15" fillId="0" borderId="0" xfId="0" applyNumberFormat="1" applyFont="1" applyAlignment="1">
      <alignment horizontal="center"/>
    </xf>
    <xf numFmtId="4" fontId="8" fillId="3" borderId="5" xfId="25" applyAlignment="1">
      <alignment horizontal="center"/>
    </xf>
    <xf numFmtId="170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8" fillId="3" borderId="4" xfId="11" applyAlignment="1">
      <alignment horizontal="center"/>
    </xf>
    <xf numFmtId="164" fontId="8" fillId="3" borderId="5" xfId="14" applyAlignment="1">
      <alignment horizontal="center"/>
    </xf>
    <xf numFmtId="164" fontId="8" fillId="4" borderId="5" xfId="17" applyAlignment="1">
      <alignment horizontal="center"/>
    </xf>
    <xf numFmtId="164" fontId="1" fillId="0" borderId="0" xfId="0" applyNumberFormat="1" applyFont="1" applyAlignment="1">
      <alignment horizontal="center"/>
    </xf>
  </cellXfs>
  <cellStyles count="26">
    <cellStyle name="blp_column_header" xfId="1" xr:uid="{98361BB5-F8C7-4919-A908-5B66DF813430}"/>
    <cellStyle name="blp_title_header_row_left" xfId="2" xr:uid="{032CC146-F323-42AE-AF34-E85445B902B1}"/>
    <cellStyle name="fa_column_header_bottom" xfId="7" xr:uid="{697C2528-6422-4B56-8862-96A955686A4F}"/>
    <cellStyle name="fa_column_header_bottom_left" xfId="6" xr:uid="{4FBB5E74-E6D1-41F6-949A-1FD1CF47FCC0}"/>
    <cellStyle name="fa_column_header_empty" xfId="3" xr:uid="{C924115C-4BA0-4FDD-83F1-A69E72369C25}"/>
    <cellStyle name="fa_column_header_top" xfId="5" xr:uid="{468D92CF-4088-4CC9-93C8-1A07D04A705C}"/>
    <cellStyle name="fa_column_header_top_left" xfId="4" xr:uid="{C6C4E750-2F0C-4494-8E58-C91DE87B7A37}"/>
    <cellStyle name="fa_data_bold_0_grouped" xfId="12" xr:uid="{28600B3F-989E-4EC2-ADAB-3DE4B38ED5AF}"/>
    <cellStyle name="fa_data_bold_1_grouped" xfId="14" xr:uid="{A67FCA11-22E5-4994-B932-9EDF966FEC6F}"/>
    <cellStyle name="fa_data_bold_2_grouped" xfId="25" xr:uid="{C838BD04-7A74-4FE4-BD4F-4EA840798779}"/>
    <cellStyle name="fa_data_current_bold_0_grouped" xfId="23" xr:uid="{BE080DB6-73CE-46AB-91F7-D665E6077A47}"/>
    <cellStyle name="fa_data_current_bold_1_grouped" xfId="17" xr:uid="{FFFEDD1C-4CEE-4B86-95E4-15662CA0A557}"/>
    <cellStyle name="fa_data_current_italic_1_grouped" xfId="19" xr:uid="{7C49B3F6-57BF-4E76-99AD-880648C74F8E}"/>
    <cellStyle name="fa_data_current_standard_0_grouped" xfId="20" xr:uid="{635A393A-78A9-4DA7-ADD5-D4EC1FB12A82}"/>
    <cellStyle name="fa_data_current_standard_1_grouped" xfId="18" xr:uid="{6E3114C4-0646-4DBC-891B-5F028AD6BB5C}"/>
    <cellStyle name="fa_data_current_standard_2_grouped" xfId="21" xr:uid="{D5672041-1716-4BE9-A135-4AFB7208B02C}"/>
    <cellStyle name="fa_data_italic_1_grouped" xfId="16" xr:uid="{2AD6C5EB-8519-47A0-8876-9C4341225028}"/>
    <cellStyle name="fa_data_standard_0_grouped" xfId="13" xr:uid="{C2868A3E-D428-45EA-9660-BCFAE3C9C034}"/>
    <cellStyle name="fa_data_standard_1_grouped" xfId="9" xr:uid="{4630B250-3B9A-427C-9234-4423AD2B3A15}"/>
    <cellStyle name="fa_data_standard_2_grouped" xfId="10" xr:uid="{E3F6C621-C992-493D-AAC7-A6638B67135D}"/>
    <cellStyle name="fa_footer_italic" xfId="22" xr:uid="{5E25734F-DC9B-4340-BA41-914124DAB627}"/>
    <cellStyle name="fa_row_header_bold" xfId="11" xr:uid="{25771CEC-6A5B-4AC3-AD19-B63CD7065308}"/>
    <cellStyle name="fa_row_header_italic" xfId="15" xr:uid="{4E219A14-91D2-42F1-A6EE-00171677548F}"/>
    <cellStyle name="fa_row_header_standard" xfId="8" xr:uid="{DA2899A3-FC3E-4612-991D-C175ECDBE5F2}"/>
    <cellStyle name="Normal 3" xfId="24" xr:uid="{8C1B7540-A5BA-41F0-B7FD-4B463EB74EE7}"/>
    <cellStyle name="一般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baseline="0"/>
              <a:t>JBH vs ASX200 </a:t>
            </a:r>
            <a:r>
              <a:rPr lang="en-US" sz="1400" b="0" i="0" u="none" strike="noStrike" baseline="0"/>
              <a:t>Regression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 Return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 cmpd="dbl">
                <a:solidFill>
                  <a:schemeClr val="tx1"/>
                </a:solidFill>
                <a:prstDash val="sysDot"/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4345039943329"/>
                  <c:y val="0.2934765912881579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 i="1" baseline="0">
                        <a:solidFill>
                          <a:schemeClr val="accent3"/>
                        </a:solidFill>
                        <a:latin typeface="+mn-lt"/>
                      </a:rPr>
                      <a:t>y = 1.0601x + 0.0047</a:t>
                    </a:r>
                    <a:br>
                      <a:rPr lang="en-US" sz="1100" b="1" i="1" baseline="0">
                        <a:solidFill>
                          <a:schemeClr val="accent3"/>
                        </a:solidFill>
                        <a:latin typeface="+mn-lt"/>
                      </a:rPr>
                    </a:br>
                    <a:r>
                      <a:rPr lang="en-US" sz="1100" b="1" i="1" baseline="0">
                        <a:solidFill>
                          <a:schemeClr val="accent3"/>
                        </a:solidFill>
                        <a:latin typeface="+mn-lt"/>
                      </a:rPr>
                      <a:t>R² = 0.265</a:t>
                    </a:r>
                    <a:endParaRPr lang="en-US" sz="1100" b="1" i="1">
                      <a:solidFill>
                        <a:schemeClr val="accent3"/>
                      </a:solidFill>
                      <a:latin typeface="+mn-lt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[1]Regreesion!$L$5:$L$329</c:f>
              <c:strCache>
                <c:ptCount val="325"/>
                <c:pt idx="0">
                  <c:v>0.0182112543884121</c:v>
                </c:pt>
                <c:pt idx="1">
                  <c:v>0.00442395005742946</c:v>
                </c:pt>
                <c:pt idx="2">
                  <c:v>-0.00724294942641646</c:v>
                </c:pt>
                <c:pt idx="3">
                  <c:v>0.0356017125756143</c:v>
                </c:pt>
                <c:pt idx="4">
                  <c:v>0.002941278099025</c:v>
                </c:pt>
                <c:pt idx="5">
                  <c:v>0.0191116362054167</c:v>
                </c:pt>
                <c:pt idx="6">
                  <c:v>0.00863975074261347</c:v>
                </c:pt>
                <c:pt idx="7">
                  <c:v>0.00705827765487621</c:v>
                </c:pt>
                <c:pt idx="8">
                  <c:v>-0.00398736993901194</c:v>
                </c:pt>
                <c:pt idx="9">
                  <c:v>0.00350863791890021</c:v>
                </c:pt>
                <c:pt idx="10">
                  <c:v>-0.00198019308553044</c:v>
                </c:pt>
                <c:pt idx="11">
                  <c:v>0.000218457775254421</c:v>
                </c:pt>
                <c:pt idx="12">
                  <c:v>0.0113476245834874</c:v>
                </c:pt>
                <c:pt idx="13">
                  <c:v>0.00141075575772365</c:v>
                </c:pt>
                <c:pt idx="14">
                  <c:v>0.0202200493085398</c:v>
                </c:pt>
                <c:pt idx="15">
                  <c:v>-0.00768039404864662</c:v>
                </c:pt>
                <c:pt idx="16">
                  <c:v>-0.00390543789113518</c:v>
                </c:pt>
                <c:pt idx="17">
                  <c:v>0.0161931045373647</c:v>
                </c:pt>
                <c:pt idx="18">
                  <c:v>0.0143453574226193</c:v>
                </c:pt>
                <c:pt idx="19">
                  <c:v>-0.00891562636728327</c:v>
                </c:pt>
                <c:pt idx="20">
                  <c:v>0.00750426105903457</c:v>
                </c:pt>
                <c:pt idx="21">
                  <c:v>0.0171718422987468</c:v>
                </c:pt>
                <c:pt idx="22">
                  <c:v>0.0148144072693597</c:v>
                </c:pt>
                <c:pt idx="23">
                  <c:v>-0.0027719928409794</c:v>
                </c:pt>
                <c:pt idx="24">
                  <c:v>0.0201011857261475</c:v>
                </c:pt>
                <c:pt idx="25">
                  <c:v>-0.00805673087167935</c:v>
                </c:pt>
                <c:pt idx="26">
                  <c:v>0.000567452153769743</c:v>
                </c:pt>
                <c:pt idx="27">
                  <c:v>0.0138860000398231</c:v>
                </c:pt>
                <c:pt idx="28">
                  <c:v>-0.00365310801320218</c:v>
                </c:pt>
                <c:pt idx="29">
                  <c:v>-0.0265392709026337</c:v>
                </c:pt>
                <c:pt idx="30">
                  <c:v>-0.0229748205159712</c:v>
                </c:pt>
                <c:pt idx="31">
                  <c:v>0.0200371316180061</c:v>
                </c:pt>
                <c:pt idx="32">
                  <c:v>0.0154309169659277</c:v>
                </c:pt>
                <c:pt idx="33">
                  <c:v>0.0119120833178201</c:v>
                </c:pt>
                <c:pt idx="34">
                  <c:v>0.00478463769204973</c:v>
                </c:pt>
                <c:pt idx="35">
                  <c:v>0.00955698399938476</c:v>
                </c:pt>
                <c:pt idx="36">
                  <c:v>-0.00193988850397031</c:v>
                </c:pt>
                <c:pt idx="37">
                  <c:v>-0.0295990020592755</c:v>
                </c:pt>
                <c:pt idx="38">
                  <c:v>0.0139041209958335</c:v>
                </c:pt>
                <c:pt idx="39">
                  <c:v>0.0064953707062827</c:v>
                </c:pt>
                <c:pt idx="40">
                  <c:v>0.0135172392657421</c:v>
                </c:pt>
                <c:pt idx="41">
                  <c:v>-0.0103679484512914</c:v>
                </c:pt>
                <c:pt idx="42">
                  <c:v>0.00843366841043491</c:v>
                </c:pt>
                <c:pt idx="43">
                  <c:v>0.0168605731827454</c:v>
                </c:pt>
                <c:pt idx="44">
                  <c:v>-0.0122869881917603</c:v>
                </c:pt>
                <c:pt idx="45">
                  <c:v>0.0206635610421675</c:v>
                </c:pt>
                <c:pt idx="46">
                  <c:v>-0.0202452087847549</c:v>
                </c:pt>
                <c:pt idx="47">
                  <c:v>0.00486968019806211</c:v>
                </c:pt>
                <c:pt idx="48">
                  <c:v>0.0114151512201268</c:v>
                </c:pt>
                <c:pt idx="49">
                  <c:v>0.000782242817938705</c:v>
                </c:pt>
                <c:pt idx="50">
                  <c:v>-0.0109478754555945</c:v>
                </c:pt>
                <c:pt idx="51">
                  <c:v>0.029037953769059</c:v>
                </c:pt>
                <c:pt idx="52">
                  <c:v>0.0194981158208243</c:v>
                </c:pt>
                <c:pt idx="53">
                  <c:v>0.00373902973999596</c:v>
                </c:pt>
                <c:pt idx="54">
                  <c:v>-0.0103406785574417</c:v>
                </c:pt>
                <c:pt idx="55">
                  <c:v>0.000763553647482151</c:v>
                </c:pt>
                <c:pt idx="56">
                  <c:v>0.0156898697959165</c:v>
                </c:pt>
                <c:pt idx="57">
                  <c:v>0.00464537592356562</c:v>
                </c:pt>
                <c:pt idx="58">
                  <c:v>-0.094451304749811</c:v>
                </c:pt>
                <c:pt idx="59">
                  <c:v>-0.0281084830417454</c:v>
                </c:pt>
                <c:pt idx="60">
                  <c:v>-0.10784968102247</c:v>
                </c:pt>
                <c:pt idx="61">
                  <c:v>-0.130314353905551</c:v>
                </c:pt>
                <c:pt idx="62">
                  <c:v>0.00572432359165598</c:v>
                </c:pt>
                <c:pt idx="63">
                  <c:v>0.0465454121366538</c:v>
                </c:pt>
                <c:pt idx="64">
                  <c:v>0.0631610108003713</c:v>
                </c:pt>
                <c:pt idx="65">
                  <c:v>0.01860407675715</c:v>
                </c:pt>
                <c:pt idx="66">
                  <c:v>-0.0445798320569171</c:v>
                </c:pt>
                <c:pt idx="67">
                  <c:v>0.00149687205246996</c:v>
                </c:pt>
                <c:pt idx="68">
                  <c:v>0.0276765288213825</c:v>
                </c:pt>
                <c:pt idx="69">
                  <c:v>0.00257684835505678</c:v>
                </c:pt>
                <c:pt idx="70">
                  <c:v>0.0176189861455724</c:v>
                </c:pt>
                <c:pt idx="71">
                  <c:v>0.0472386135814562</c:v>
                </c:pt>
                <c:pt idx="72">
                  <c:v>0.042248308654256</c:v>
                </c:pt>
                <c:pt idx="73">
                  <c:v>-0.0251557170950871</c:v>
                </c:pt>
                <c:pt idx="74">
                  <c:v>0.0162053691159865</c:v>
                </c:pt>
                <c:pt idx="75">
                  <c:v>-0.00647849745394335</c:v>
                </c:pt>
                <c:pt idx="76">
                  <c:v>0.0274488351372366</c:v>
                </c:pt>
                <c:pt idx="77">
                  <c:v>-0.022817869550712</c:v>
                </c:pt>
                <c:pt idx="78">
                  <c:v>0.0193382862268612</c:v>
                </c:pt>
                <c:pt idx="79">
                  <c:v>-0.00159572779526551</c:v>
                </c:pt>
                <c:pt idx="80">
                  <c:v>-0.0159444176473932</c:v>
                </c:pt>
                <c:pt idx="81">
                  <c:v>0.0137126974029014</c:v>
                </c:pt>
                <c:pt idx="82">
                  <c:v>0.0203383058995803</c:v>
                </c:pt>
                <c:pt idx="83">
                  <c:v>-0.000545490403098703</c:v>
                </c:pt>
                <c:pt idx="84">
                  <c:v>-0.00262151705755764</c:v>
                </c:pt>
                <c:pt idx="85">
                  <c:v>-0.0199015680033869</c:v>
                </c:pt>
                <c:pt idx="86">
                  <c:v>-0.00970985823001302</c:v>
                </c:pt>
                <c:pt idx="87">
                  <c:v>0.00110943852480139</c:v>
                </c:pt>
                <c:pt idx="88">
                  <c:v>0.017295086865911</c:v>
                </c:pt>
                <c:pt idx="89">
                  <c:v>-0.0289880550479014</c:v>
                </c:pt>
                <c:pt idx="90">
                  <c:v>0.0537777747587529</c:v>
                </c:pt>
                <c:pt idx="91">
                  <c:v>0.0122565589805061</c:v>
                </c:pt>
                <c:pt idx="92">
                  <c:v>-0.0015776845776212</c:v>
                </c:pt>
                <c:pt idx="93">
                  <c:v>-0.0388300946908239</c:v>
                </c:pt>
                <c:pt idx="94">
                  <c:v>0.0443958566383287</c:v>
                </c:pt>
                <c:pt idx="95">
                  <c:v>0.0373351426359443</c:v>
                </c:pt>
                <c:pt idx="96">
                  <c:v>0.0213108958818413</c:v>
                </c:pt>
                <c:pt idx="97">
                  <c:v>0.00960174049737517</c:v>
                </c:pt>
                <c:pt idx="98">
                  <c:v>0.00515909180975416</c:v>
                </c:pt>
                <c:pt idx="99">
                  <c:v>0.00129556831412514</c:v>
                </c:pt>
                <c:pt idx="100">
                  <c:v>0.00495109596495347</c:v>
                </c:pt>
                <c:pt idx="101">
                  <c:v>-0.00153874260474607</c:v>
                </c:pt>
                <c:pt idx="102">
                  <c:v>-0.0103589146545147</c:v>
                </c:pt>
                <c:pt idx="103">
                  <c:v>0.0259540384365655</c:v>
                </c:pt>
                <c:pt idx="104">
                  <c:v>-0.00626186625004799</c:v>
                </c:pt>
                <c:pt idx="105">
                  <c:v>0.0126475881718613</c:v>
                </c:pt>
                <c:pt idx="106">
                  <c:v>-0.0283821530123032</c:v>
                </c:pt>
                <c:pt idx="107">
                  <c:v>0.0352900595027141</c:v>
                </c:pt>
                <c:pt idx="108">
                  <c:v>-0.00474072727749597</c:v>
                </c:pt>
                <c:pt idx="109">
                  <c:v>0.00109681647229443</c:v>
                </c:pt>
                <c:pt idx="110">
                  <c:v>-0.0151580218729036</c:v>
                </c:pt>
                <c:pt idx="111">
                  <c:v>0.0136784486035173</c:v>
                </c:pt>
                <c:pt idx="112">
                  <c:v>0.00898574018312637</c:v>
                </c:pt>
                <c:pt idx="113">
                  <c:v>-0.0085205583645348</c:v>
                </c:pt>
                <c:pt idx="114">
                  <c:v>0.0174575273820532</c:v>
                </c:pt>
                <c:pt idx="115">
                  <c:v>0.000914585467971074</c:v>
                </c:pt>
                <c:pt idx="116">
                  <c:v>0.024416002485113</c:v>
                </c:pt>
                <c:pt idx="117">
                  <c:v>0.00983954654522678</c:v>
                </c:pt>
                <c:pt idx="118">
                  <c:v>-0.000365373747208464</c:v>
                </c:pt>
                <c:pt idx="119">
                  <c:v>-0.00494143302894545</c:v>
                </c:pt>
                <c:pt idx="120">
                  <c:v>0.00790841491450966</c:v>
                </c:pt>
                <c:pt idx="121">
                  <c:v>-0.00498509223469745</c:v>
                </c:pt>
                <c:pt idx="122">
                  <c:v>0.00301561358109304</c:v>
                </c:pt>
                <c:pt idx="123">
                  <c:v>0.0214314709154935</c:v>
                </c:pt>
                <c:pt idx="124">
                  <c:v>0.0161741048961999</c:v>
                </c:pt>
                <c:pt idx="125">
                  <c:v>0.00239544222296506</c:v>
                </c:pt>
                <c:pt idx="126">
                  <c:v>0.00772912448770979</c:v>
                </c:pt>
                <c:pt idx="127">
                  <c:v>-0.00821082943907303</c:v>
                </c:pt>
                <c:pt idx="128">
                  <c:v>0.0014882529485245</c:v>
                </c:pt>
                <c:pt idx="129">
                  <c:v>-0.00474921612751089</c:v>
                </c:pt>
                <c:pt idx="130">
                  <c:v>0.0102880476137477</c:v>
                </c:pt>
                <c:pt idx="131">
                  <c:v>0.00629126431231808</c:v>
                </c:pt>
                <c:pt idx="132">
                  <c:v>-0.00023369079136748</c:v>
                </c:pt>
                <c:pt idx="133">
                  <c:v>0.0197282410435944</c:v>
                </c:pt>
                <c:pt idx="134">
                  <c:v>0.0138130298656423</c:v>
                </c:pt>
                <c:pt idx="135">
                  <c:v>-0.0188504855669626</c:v>
                </c:pt>
                <c:pt idx="136">
                  <c:v>0.00553355069580341</c:v>
                </c:pt>
                <c:pt idx="137">
                  <c:v>0.0126833928370875</c:v>
                </c:pt>
                <c:pt idx="138">
                  <c:v>-0.0116461189790136</c:v>
                </c:pt>
                <c:pt idx="139">
                  <c:v>-0.000124355317023483</c:v>
                </c:pt>
                <c:pt idx="140">
                  <c:v>-0.00805427084420041</c:v>
                </c:pt>
                <c:pt idx="141">
                  <c:v>-0.0213334639883392</c:v>
                </c:pt>
                <c:pt idx="142">
                  <c:v>0.0187757116910303</c:v>
                </c:pt>
                <c:pt idx="143">
                  <c:v>0.0058131328817399</c:v>
                </c:pt>
                <c:pt idx="144">
                  <c:v>0.00726680234538279</c:v>
                </c:pt>
                <c:pt idx="145">
                  <c:v>-0.0122762581630627</c:v>
                </c:pt>
                <c:pt idx="146">
                  <c:v>0.0197399919470602</c:v>
                </c:pt>
                <c:pt idx="147">
                  <c:v>0.000116940404448762</c:v>
                </c:pt>
                <c:pt idx="148">
                  <c:v>-0.00453726808696764</c:v>
                </c:pt>
                <c:pt idx="149">
                  <c:v>-0.0157419981831066</c:v>
                </c:pt>
                <c:pt idx="150">
                  <c:v>-0.00491877598228785</c:v>
                </c:pt>
                <c:pt idx="151">
                  <c:v>0.0155254975971633</c:v>
                </c:pt>
                <c:pt idx="152">
                  <c:v>-0.00673799147533172</c:v>
                </c:pt>
                <c:pt idx="153">
                  <c:v>0.0159962329870396</c:v>
                </c:pt>
                <c:pt idx="154">
                  <c:v>0.0044190302345164</c:v>
                </c:pt>
                <c:pt idx="155">
                  <c:v>0.00119989833891343</c:v>
                </c:pt>
                <c:pt idx="156">
                  <c:v>-0.00798138108097668</c:v>
                </c:pt>
                <c:pt idx="157">
                  <c:v>-0.0294900085970078</c:v>
                </c:pt>
                <c:pt idx="158">
                  <c:v>-0.0261532779857634</c:v>
                </c:pt>
                <c:pt idx="159">
                  <c:v>0.0189157134601032</c:v>
                </c:pt>
                <c:pt idx="160">
                  <c:v>0.0136805222402701</c:v>
                </c:pt>
                <c:pt idx="161">
                  <c:v>0.00325316047824686</c:v>
                </c:pt>
                <c:pt idx="162">
                  <c:v>-0.0210830504722129</c:v>
                </c:pt>
                <c:pt idx="163">
                  <c:v>0.0195332813113254</c:v>
                </c:pt>
                <c:pt idx="164">
                  <c:v>-0.00347875279787169</c:v>
                </c:pt>
                <c:pt idx="165">
                  <c:v>0.0328494441674014</c:v>
                </c:pt>
                <c:pt idx="166">
                  <c:v>0.0155448307067596</c:v>
                </c:pt>
                <c:pt idx="167">
                  <c:v>0.0120799923731087</c:v>
                </c:pt>
                <c:pt idx="168">
                  <c:v>-0.00209025695514065</c:v>
                </c:pt>
                <c:pt idx="169">
                  <c:v>0.00611189746208618</c:v>
                </c:pt>
                <c:pt idx="170">
                  <c:v>-0.00662106629158665</c:v>
                </c:pt>
                <c:pt idx="171">
                  <c:v>-0.00512011196257844</c:v>
                </c:pt>
                <c:pt idx="172">
                  <c:v>-0.0307600532306054</c:v>
                </c:pt>
                <c:pt idx="173">
                  <c:v>-0.0151516923043566</c:v>
                </c:pt>
                <c:pt idx="174">
                  <c:v>0.0122245257788018</c:v>
                </c:pt>
                <c:pt idx="175">
                  <c:v>0.00552303997596137</c:v>
                </c:pt>
                <c:pt idx="176">
                  <c:v>0.0078601290311926</c:v>
                </c:pt>
                <c:pt idx="177">
                  <c:v>-0.0421943181260744</c:v>
                </c:pt>
                <c:pt idx="178">
                  <c:v>-0.0659525961507789</c:v>
                </c:pt>
                <c:pt idx="179">
                  <c:v>0.0161016511856094</c:v>
                </c:pt>
                <c:pt idx="180">
                  <c:v>-0.00441066678660706</c:v>
                </c:pt>
                <c:pt idx="181">
                  <c:v>0.0211489712266182</c:v>
                </c:pt>
                <c:pt idx="182">
                  <c:v>-0.0107706542772605</c:v>
                </c:pt>
                <c:pt idx="183">
                  <c:v>0.0281474599103435</c:v>
                </c:pt>
                <c:pt idx="184">
                  <c:v>0.0226238739361215</c:v>
                </c:pt>
                <c:pt idx="185">
                  <c:v>0.0101439664014886</c:v>
                </c:pt>
                <c:pt idx="186">
                  <c:v>0.00354088674780972</c:v>
                </c:pt>
                <c:pt idx="187">
                  <c:v>0.0146622534401637</c:v>
                </c:pt>
                <c:pt idx="188">
                  <c:v>0.000236431211471766</c:v>
                </c:pt>
                <c:pt idx="189">
                  <c:v>-0.0271080585372561</c:v>
                </c:pt>
                <c:pt idx="190">
                  <c:v>0.0155804439506724</c:v>
                </c:pt>
                <c:pt idx="191">
                  <c:v>-0.0215713026018907</c:v>
                </c:pt>
                <c:pt idx="192">
                  <c:v>-0.0241319004565318</c:v>
                </c:pt>
                <c:pt idx="193">
                  <c:v>-0.0152018189864271</c:v>
                </c:pt>
                <c:pt idx="194">
                  <c:v>0.0446424648158501</c:v>
                </c:pt>
                <c:pt idx="195">
                  <c:v>-0.000468055732697037</c:v>
                </c:pt>
                <c:pt idx="196">
                  <c:v>-0.012143079587816</c:v>
                </c:pt>
                <c:pt idx="197">
                  <c:v>0.0165432535297412</c:v>
                </c:pt>
                <c:pt idx="198">
                  <c:v>0.0157547026868372</c:v>
                </c:pt>
                <c:pt idx="199">
                  <c:v>0.0408565729800507</c:v>
                </c:pt>
                <c:pt idx="200">
                  <c:v>0.00244951737195009</c:v>
                </c:pt>
                <c:pt idx="201">
                  <c:v>0.0151909738140208</c:v>
                </c:pt>
                <c:pt idx="202">
                  <c:v>0.00594456280494571</c:v>
                </c:pt>
                <c:pt idx="203">
                  <c:v>-0.0118533101926458</c:v>
                </c:pt>
                <c:pt idx="204">
                  <c:v>-0.00894293331797213</c:v>
                </c:pt>
                <c:pt idx="205">
                  <c:v>-0.00565754219280046</c:v>
                </c:pt>
                <c:pt idx="206">
                  <c:v>-0.00822221169601112</c:v>
                </c:pt>
                <c:pt idx="207">
                  <c:v>0.0100737432537938</c:v>
                </c:pt>
                <c:pt idx="208">
                  <c:v>0.0307717251652293</c:v>
                </c:pt>
                <c:pt idx="209">
                  <c:v>0.0169286797843713</c:v>
                </c:pt>
                <c:pt idx="210">
                  <c:v>0.00559273781730041</c:v>
                </c:pt>
                <c:pt idx="211">
                  <c:v>0.00857705479283877</c:v>
                </c:pt>
                <c:pt idx="212">
                  <c:v>-0.016383769185341</c:v>
                </c:pt>
                <c:pt idx="213">
                  <c:v>-0.0110903521016401</c:v>
                </c:pt>
                <c:pt idx="214">
                  <c:v>-0.00130338685334164</c:v>
                </c:pt>
                <c:pt idx="215">
                  <c:v>0.000764587492426472</c:v>
                </c:pt>
                <c:pt idx="216">
                  <c:v>-0.00903429836935321</c:v>
                </c:pt>
                <c:pt idx="217">
                  <c:v>-0.0206531741861556</c:v>
                </c:pt>
                <c:pt idx="218">
                  <c:v>-0.00549170029581136</c:v>
                </c:pt>
                <c:pt idx="219">
                  <c:v>0.032257484521248</c:v>
                </c:pt>
                <c:pt idx="220">
                  <c:v>0.00577363057771607</c:v>
                </c:pt>
                <c:pt idx="221">
                  <c:v>0.01977722617667</c:v>
                </c:pt>
                <c:pt idx="222">
                  <c:v>-0.00407675785074013</c:v>
                </c:pt>
                <c:pt idx="223">
                  <c:v>-0.00289602411757284</c:v>
                </c:pt>
                <c:pt idx="224">
                  <c:v>-0.0121959457206302</c:v>
                </c:pt>
                <c:pt idx="225">
                  <c:v>0.00857069518160758</c:v>
                </c:pt>
                <c:pt idx="226">
                  <c:v>0.00570606825170827</c:v>
                </c:pt>
                <c:pt idx="227">
                  <c:v>-0.0168276096641361</c:v>
                </c:pt>
                <c:pt idx="228">
                  <c:v>-0.00133643647428638</c:v>
                </c:pt>
                <c:pt idx="229">
                  <c:v>-0.00312008293520138</c:v>
                </c:pt>
                <c:pt idx="230">
                  <c:v>0.0182122626012795</c:v>
                </c:pt>
                <c:pt idx="231">
                  <c:v>-0.0209292544554738</c:v>
                </c:pt>
                <c:pt idx="232">
                  <c:v>0.016278593732213</c:v>
                </c:pt>
                <c:pt idx="233">
                  <c:v>-0.0223342097551036</c:v>
                </c:pt>
                <c:pt idx="234">
                  <c:v>0.0370463461148984</c:v>
                </c:pt>
                <c:pt idx="235">
                  <c:v>0.00155054335113247</c:v>
                </c:pt>
                <c:pt idx="236">
                  <c:v>0.0122725408162923</c:v>
                </c:pt>
                <c:pt idx="237">
                  <c:v>-0.0105576999190431</c:v>
                </c:pt>
                <c:pt idx="238">
                  <c:v>0.00265738498533086</c:v>
                </c:pt>
                <c:pt idx="239">
                  <c:v>-0.0227340471707612</c:v>
                </c:pt>
                <c:pt idx="240">
                  <c:v>-0.00388079954327758</c:v>
                </c:pt>
                <c:pt idx="241">
                  <c:v>0.0280902801286598</c:v>
                </c:pt>
                <c:pt idx="242">
                  <c:v>-0.00974476481466779</c:v>
                </c:pt>
                <c:pt idx="243">
                  <c:v>0.0186849020433506</c:v>
                </c:pt>
                <c:pt idx="244">
                  <c:v>-0.0286941897702817</c:v>
                </c:pt>
                <c:pt idx="245">
                  <c:v>-0.00266324516654826</c:v>
                </c:pt>
                <c:pt idx="246">
                  <c:v>-0.0133633969378782</c:v>
                </c:pt>
                <c:pt idx="247">
                  <c:v>0.0140059683061666</c:v>
                </c:pt>
                <c:pt idx="248">
                  <c:v>-0.0213166073789675</c:v>
                </c:pt>
                <c:pt idx="249">
                  <c:v>-0.0105318213664444</c:v>
                </c:pt>
                <c:pt idx="250">
                  <c:v>0.0221952311745639</c:v>
                </c:pt>
                <c:pt idx="251">
                  <c:v>0.00157379183007156</c:v>
                </c:pt>
                <c:pt idx="252">
                  <c:v>0.0146424074325138</c:v>
                </c:pt>
                <c:pt idx="253">
                  <c:v>-0.00109181336094999</c:v>
                </c:pt>
                <c:pt idx="254">
                  <c:v>0.00490253644441263</c:v>
                </c:pt>
                <c:pt idx="255">
                  <c:v>0.0172858841426233</c:v>
                </c:pt>
                <c:pt idx="256">
                  <c:v>0.0345090435854438</c:v>
                </c:pt>
                <c:pt idx="257">
                  <c:v>0.00790855997846474</c:v>
                </c:pt>
                <c:pt idx="258">
                  <c:v>0.0132454625384792</c:v>
                </c:pt>
                <c:pt idx="259">
                  <c:v>-0.013403822829636</c:v>
                </c:pt>
                <c:pt idx="260">
                  <c:v>0.00126855341261112</c:v>
                </c:pt>
                <c:pt idx="261">
                  <c:v>-0.0102752808551585</c:v>
                </c:pt>
                <c:pt idx="262">
                  <c:v>0.0180732654151359</c:v>
                </c:pt>
                <c:pt idx="263">
                  <c:v>0.0190875483549431</c:v>
                </c:pt>
                <c:pt idx="264">
                  <c:v>-0.00706979841161348</c:v>
                </c:pt>
                <c:pt idx="265">
                  <c:v>0.00196705100987216</c:v>
                </c:pt>
                <c:pt idx="266">
                  <c:v>0.00188819804242768</c:v>
                </c:pt>
                <c:pt idx="267">
                  <c:v>0.0172711376796979</c:v>
                </c:pt>
                <c:pt idx="268">
                  <c:v>0.020415740120872</c:v>
                </c:pt>
                <c:pt idx="269">
                  <c:v>-0.0216278246675298</c:v>
                </c:pt>
                <c:pt idx="270">
                  <c:v>0.0132784458141513</c:v>
                </c:pt>
                <c:pt idx="271">
                  <c:v>0.0164635164621985</c:v>
                </c:pt>
                <c:pt idx="272">
                  <c:v>-0.0155962536069086</c:v>
                </c:pt>
                <c:pt idx="273">
                  <c:v>0.00191830159429718</c:v>
                </c:pt>
                <c:pt idx="274">
                  <c:v>-0.0282378811194131</c:v>
                </c:pt>
                <c:pt idx="275">
                  <c:v>0.00114017517426035</c:v>
                </c:pt>
                <c:pt idx="276">
                  <c:v>0.00707425439424836</c:v>
                </c:pt>
                <c:pt idx="277">
                  <c:v>0.0190424323463514</c:v>
                </c:pt>
                <c:pt idx="278">
                  <c:v>0.0105387188441861</c:v>
                </c:pt>
                <c:pt idx="279">
                  <c:v>-0.010878500666487</c:v>
                </c:pt>
                <c:pt idx="280">
                  <c:v>-0.00331552677439506</c:v>
                </c:pt>
                <c:pt idx="281">
                  <c:v>0.0205805481946317</c:v>
                </c:pt>
                <c:pt idx="282">
                  <c:v>-0.0171752744078568</c:v>
                </c:pt>
                <c:pt idx="283">
                  <c:v>0.00932387004779667</c:v>
                </c:pt>
                <c:pt idx="284">
                  <c:v>-0.00217294494373044</c:v>
                </c:pt>
                <c:pt idx="285">
                  <c:v>0.00710141304067524</c:v>
                </c:pt>
                <c:pt idx="286">
                  <c:v>0.0175274617973455</c:v>
                </c:pt>
                <c:pt idx="287">
                  <c:v>0.0016025243232265</c:v>
                </c:pt>
                <c:pt idx="288">
                  <c:v>-0.00631291751618912</c:v>
                </c:pt>
                <c:pt idx="289">
                  <c:v>0.00277329389622127</c:v>
                </c:pt>
                <c:pt idx="290">
                  <c:v>-0.02083516834689</c:v>
                </c:pt>
                <c:pt idx="291">
                  <c:v>0.0258685978106727</c:v>
                </c:pt>
                <c:pt idx="292">
                  <c:v>0.010049838454508</c:v>
                </c:pt>
                <c:pt idx="293">
                  <c:v>0.0103619696246522</c:v>
                </c:pt>
                <c:pt idx="294">
                  <c:v>-0.00479206937138266</c:v>
                </c:pt>
                <c:pt idx="295">
                  <c:v>0.0155110249582242</c:v>
                </c:pt>
                <c:pt idx="296">
                  <c:v>0.0139160111894991</c:v>
                </c:pt>
                <c:pt idx="297">
                  <c:v>0.000490978427579947</c:v>
                </c:pt>
                <c:pt idx="298">
                  <c:v>-0.00748493671847539</c:v>
                </c:pt>
                <c:pt idx="299">
                  <c:v>0.0079401181992631</c:v>
                </c:pt>
                <c:pt idx="300">
                  <c:v>0.00848858197608959</c:v>
                </c:pt>
                <c:pt idx="301">
                  <c:v>-0.0086205660838693</c:v>
                </c:pt>
                <c:pt idx="302">
                  <c:v>-0.0112553787526405</c:v>
                </c:pt>
                <c:pt idx="303">
                  <c:v>0.0233277993085095</c:v>
                </c:pt>
                <c:pt idx="304">
                  <c:v>0.00210206504837163</c:v>
                </c:pt>
                <c:pt idx="305">
                  <c:v>0.013219824484199</c:v>
                </c:pt>
                <c:pt idx="306">
                  <c:v>0.0052632266846393</c:v>
                </c:pt>
                <c:pt idx="307">
                  <c:v>-0.00175638810355261</c:v>
                </c:pt>
                <c:pt idx="308">
                  <c:v>-0.0147390602289496</c:v>
                </c:pt>
                <c:pt idx="309">
                  <c:v>-0.027585694352694</c:v>
                </c:pt>
                <c:pt idx="310">
                  <c:v>0.0241792050531515</c:v>
                </c:pt>
                <c:pt idx="311">
                  <c:v>-0.000136982945395325</c:v>
                </c:pt>
                <c:pt idx="312">
                  <c:v>0.00528198629027488</c:v>
                </c:pt>
                <c:pt idx="313">
                  <c:v>0.00196646334016259</c:v>
                </c:pt>
                <c:pt idx="314">
                  <c:v>0.0118508379433246</c:v>
                </c:pt>
                <c:pt idx="315">
                  <c:v>0.0146787905202184</c:v>
                </c:pt>
                <c:pt idx="316">
                  <c:v>-0.00244611946213769</c:v>
                </c:pt>
                <c:pt idx="317">
                  <c:v>0.00543420186421262</c:v>
                </c:pt>
                <c:pt idx="318">
                  <c:v>-0.0274088321967076</c:v>
                </c:pt>
                <c:pt idx="319">
                  <c:v>-0.012161573070812</c:v>
                </c:pt>
                <c:pt idx="320">
                  <c:v>-0.0208026698708209</c:v>
                </c:pt>
                <c:pt idx="321">
                  <c:v>-0.0187438385307058</c:v>
                </c:pt>
                <c:pt idx="322">
                  <c:v>0.0184866949599851</c:v>
                </c:pt>
                <c:pt idx="323">
                  <c:v>0.00669578824691452</c:v>
                </c:pt>
                <c:pt idx="324">
                  <c:v>-0.0393004895721212</c:v>
                </c:pt>
              </c:strCache>
            </c:strRef>
          </c:xVal>
          <c:yVal>
            <c:numRef>
              <c:f>[1]Regreesion!$D$5:$D$329</c:f>
              <c:numCache>
                <c:formatCode>General</c:formatCode>
                <c:ptCount val="325"/>
                <c:pt idx="0">
                  <c:v>9.2678405931434504E-4</c:v>
                </c:pt>
                <c:pt idx="1">
                  <c:v>6.4814814814814659E-2</c:v>
                </c:pt>
                <c:pt idx="2">
                  <c:v>-1.1739130434782585E-2</c:v>
                </c:pt>
                <c:pt idx="3">
                  <c:v>-6.5992080950286747E-3</c:v>
                </c:pt>
                <c:pt idx="4">
                  <c:v>2.3472099202834329E-2</c:v>
                </c:pt>
                <c:pt idx="5">
                  <c:v>2.7996538295110396E-2</c:v>
                </c:pt>
                <c:pt idx="6">
                  <c:v>-9.3530327903355026E-3</c:v>
                </c:pt>
                <c:pt idx="7">
                  <c:v>7.5539201522851318E-2</c:v>
                </c:pt>
                <c:pt idx="8">
                  <c:v>7.5219455923136724E-3</c:v>
                </c:pt>
                <c:pt idx="9">
                  <c:v>-2.4859820413285494E-3</c:v>
                </c:pt>
                <c:pt idx="10">
                  <c:v>3.7850437899967115E-2</c:v>
                </c:pt>
                <c:pt idx="11">
                  <c:v>-1.803617081715736E-2</c:v>
                </c:pt>
                <c:pt idx="12">
                  <c:v>2.367480126358168E-2</c:v>
                </c:pt>
                <c:pt idx="13">
                  <c:v>2.3522895542970934E-2</c:v>
                </c:pt>
                <c:pt idx="14">
                  <c:v>-2.7241536717174109E-3</c:v>
                </c:pt>
                <c:pt idx="15">
                  <c:v>-9.767297640492445E-3</c:v>
                </c:pt>
                <c:pt idx="16">
                  <c:v>3.5525501569384499E-3</c:v>
                </c:pt>
                <c:pt idx="17">
                  <c:v>5.5012610926001848E-3</c:v>
                </c:pt>
                <c:pt idx="18">
                  <c:v>8.7176569680670335E-2</c:v>
                </c:pt>
                <c:pt idx="19">
                  <c:v>1.1148866764076448E-2</c:v>
                </c:pt>
                <c:pt idx="20">
                  <c:v>-1.4225176512496218E-2</c:v>
                </c:pt>
                <c:pt idx="21">
                  <c:v>-4.1126618440161078E-2</c:v>
                </c:pt>
                <c:pt idx="22">
                  <c:v>-2.3702866244302734E-2</c:v>
                </c:pt>
                <c:pt idx="23">
                  <c:v>-3.8527786982851531E-3</c:v>
                </c:pt>
                <c:pt idx="24">
                  <c:v>4.4876786243049693E-2</c:v>
                </c:pt>
                <c:pt idx="25">
                  <c:v>5.2941485174494929E-2</c:v>
                </c:pt>
                <c:pt idx="26">
                  <c:v>3.0240200427303465E-2</c:v>
                </c:pt>
                <c:pt idx="27">
                  <c:v>3.5835230827780729E-2</c:v>
                </c:pt>
                <c:pt idx="28">
                  <c:v>-3.6572645554209804E-2</c:v>
                </c:pt>
                <c:pt idx="29">
                  <c:v>-4.3775026420143193E-2</c:v>
                </c:pt>
                <c:pt idx="30">
                  <c:v>0.11051514475560875</c:v>
                </c:pt>
                <c:pt idx="31">
                  <c:v>4.1271908867632101E-2</c:v>
                </c:pt>
                <c:pt idx="32">
                  <c:v>4.080809497921889E-2</c:v>
                </c:pt>
                <c:pt idx="33">
                  <c:v>7.2957034540859222E-3</c:v>
                </c:pt>
                <c:pt idx="34">
                  <c:v>3.3192267590006264E-2</c:v>
                </c:pt>
                <c:pt idx="35">
                  <c:v>1.8108277298679809E-2</c:v>
                </c:pt>
                <c:pt idx="36">
                  <c:v>-1.0328240329697924E-2</c:v>
                </c:pt>
                <c:pt idx="37">
                  <c:v>-7.5357909902574738E-3</c:v>
                </c:pt>
                <c:pt idx="38">
                  <c:v>1.5480135130759409E-2</c:v>
                </c:pt>
                <c:pt idx="39">
                  <c:v>-2.7323624053717133E-2</c:v>
                </c:pt>
                <c:pt idx="40">
                  <c:v>9.964541138289551E-2</c:v>
                </c:pt>
                <c:pt idx="41">
                  <c:v>-1.5057113187954219E-2</c:v>
                </c:pt>
                <c:pt idx="42">
                  <c:v>-1.0921298549965153E-3</c:v>
                </c:pt>
                <c:pt idx="43">
                  <c:v>5.4539945460052586E-4</c:v>
                </c:pt>
                <c:pt idx="44">
                  <c:v>-5.7361907453766792E-3</c:v>
                </c:pt>
                <c:pt idx="45">
                  <c:v>2.7747390115817172E-2</c:v>
                </c:pt>
                <c:pt idx="46">
                  <c:v>1.790993171406341E-2</c:v>
                </c:pt>
                <c:pt idx="47">
                  <c:v>-1.5755749489891224E-2</c:v>
                </c:pt>
                <c:pt idx="48">
                  <c:v>5.6296573841493114E-2</c:v>
                </c:pt>
                <c:pt idx="49">
                  <c:v>-3.0314274312678302E-3</c:v>
                </c:pt>
                <c:pt idx="50">
                  <c:v>-2.8882615656863675E-2</c:v>
                </c:pt>
                <c:pt idx="51">
                  <c:v>6.8093127294376998E-2</c:v>
                </c:pt>
                <c:pt idx="52">
                  <c:v>1.4646046357331688E-3</c:v>
                </c:pt>
                <c:pt idx="53">
                  <c:v>2.4336821611092851E-4</c:v>
                </c:pt>
                <c:pt idx="54">
                  <c:v>-3.2918806884743579E-2</c:v>
                </c:pt>
                <c:pt idx="55">
                  <c:v>1.1095632565204072E-2</c:v>
                </c:pt>
                <c:pt idx="56">
                  <c:v>3.6158707557754965E-2</c:v>
                </c:pt>
                <c:pt idx="57">
                  <c:v>2.7950414141975077E-3</c:v>
                </c:pt>
                <c:pt idx="58">
                  <c:v>-8.5508956011548065E-2</c:v>
                </c:pt>
                <c:pt idx="59">
                  <c:v>-6.8769867537625484E-2</c:v>
                </c:pt>
                <c:pt idx="60">
                  <c:v>-2.1306733115136534E-2</c:v>
                </c:pt>
                <c:pt idx="61">
                  <c:v>-0.17745308268196258</c:v>
                </c:pt>
                <c:pt idx="62">
                  <c:v>-0.11928881471275077</c:v>
                </c:pt>
                <c:pt idx="63">
                  <c:v>0.19884829944214499</c:v>
                </c:pt>
                <c:pt idx="64">
                  <c:v>0.16414755635067002</c:v>
                </c:pt>
                <c:pt idx="65">
                  <c:v>-2.448542452805369E-2</c:v>
                </c:pt>
                <c:pt idx="66">
                  <c:v>1.9656503478394649E-2</c:v>
                </c:pt>
                <c:pt idx="67">
                  <c:v>1.8089755663961204E-2</c:v>
                </c:pt>
                <c:pt idx="68">
                  <c:v>2.7089039138139759E-2</c:v>
                </c:pt>
                <c:pt idx="69">
                  <c:v>-2.7507988271219141E-2</c:v>
                </c:pt>
                <c:pt idx="70">
                  <c:v>2.5078435147270817E-2</c:v>
                </c:pt>
                <c:pt idx="71">
                  <c:v>5.6045924970941741E-2</c:v>
                </c:pt>
                <c:pt idx="72">
                  <c:v>8.7016182909655404E-2</c:v>
                </c:pt>
                <c:pt idx="73">
                  <c:v>-8.6751398877361607E-3</c:v>
                </c:pt>
                <c:pt idx="74">
                  <c:v>-4.995506274488859E-4</c:v>
                </c:pt>
                <c:pt idx="75">
                  <c:v>5.6528753020556488E-2</c:v>
                </c:pt>
                <c:pt idx="76">
                  <c:v>1.0652272160907694E-2</c:v>
                </c:pt>
                <c:pt idx="77">
                  <c:v>-6.7933249470283341E-3</c:v>
                </c:pt>
                <c:pt idx="78">
                  <c:v>1.9341183698115216E-2</c:v>
                </c:pt>
                <c:pt idx="79">
                  <c:v>2.8227038183694431E-2</c:v>
                </c:pt>
                <c:pt idx="80">
                  <c:v>2.767696557040078E-2</c:v>
                </c:pt>
                <c:pt idx="81">
                  <c:v>-2.1876538194087747E-4</c:v>
                </c:pt>
                <c:pt idx="82">
                  <c:v>3.6575025593335475E-2</c:v>
                </c:pt>
                <c:pt idx="83">
                  <c:v>7.6272256598055366E-2</c:v>
                </c:pt>
                <c:pt idx="84">
                  <c:v>2.9267600750208844E-2</c:v>
                </c:pt>
                <c:pt idx="85">
                  <c:v>-2.6975571412529709E-2</c:v>
                </c:pt>
                <c:pt idx="86">
                  <c:v>-5.8858294908716413E-2</c:v>
                </c:pt>
                <c:pt idx="87">
                  <c:v>4.2694867326351638E-3</c:v>
                </c:pt>
                <c:pt idx="88">
                  <c:v>1.1475646395429751E-2</c:v>
                </c:pt>
                <c:pt idx="89">
                  <c:v>-2.8997382663391469E-2</c:v>
                </c:pt>
                <c:pt idx="90">
                  <c:v>7.530821175960889E-2</c:v>
                </c:pt>
                <c:pt idx="91">
                  <c:v>5.0111672637138449E-2</c:v>
                </c:pt>
                <c:pt idx="92">
                  <c:v>-2.5872768035871574E-2</c:v>
                </c:pt>
                <c:pt idx="93">
                  <c:v>-6.6889626379798672E-2</c:v>
                </c:pt>
                <c:pt idx="94">
                  <c:v>2.7830743566262583E-2</c:v>
                </c:pt>
                <c:pt idx="95">
                  <c:v>-6.0307178082583124E-2</c:v>
                </c:pt>
                <c:pt idx="96">
                  <c:v>4.5830245682039195E-3</c:v>
                </c:pt>
                <c:pt idx="97">
                  <c:v>4.3502767154279809E-4</c:v>
                </c:pt>
                <c:pt idx="98">
                  <c:v>-2.2588915021212519E-2</c:v>
                </c:pt>
                <c:pt idx="99">
                  <c:v>-2.177823685065694E-2</c:v>
                </c:pt>
                <c:pt idx="100">
                  <c:v>9.0414751099906265E-2</c:v>
                </c:pt>
                <c:pt idx="101">
                  <c:v>6.666062199655487E-3</c:v>
                </c:pt>
                <c:pt idx="102">
                  <c:v>6.2094011089375289E-3</c:v>
                </c:pt>
                <c:pt idx="103">
                  <c:v>2.4680748979990064E-2</c:v>
                </c:pt>
                <c:pt idx="104">
                  <c:v>1.9068451793367469E-2</c:v>
                </c:pt>
                <c:pt idx="105">
                  <c:v>4.7267745978298858E-3</c:v>
                </c:pt>
                <c:pt idx="106">
                  <c:v>1.4900261078784283E-2</c:v>
                </c:pt>
                <c:pt idx="107">
                  <c:v>-1.3136346975765156E-2</c:v>
                </c:pt>
                <c:pt idx="108">
                  <c:v>-3.9134575576411645E-3</c:v>
                </c:pt>
                <c:pt idx="109">
                  <c:v>-2.2991454745729056E-2</c:v>
                </c:pt>
                <c:pt idx="110">
                  <c:v>-7.7622940774846438E-2</c:v>
                </c:pt>
                <c:pt idx="111">
                  <c:v>4.4230940780570549E-2</c:v>
                </c:pt>
                <c:pt idx="112">
                  <c:v>7.3682010269459752E-2</c:v>
                </c:pt>
                <c:pt idx="113">
                  <c:v>6.8623849483590238E-2</c:v>
                </c:pt>
                <c:pt idx="114">
                  <c:v>3.7493861386138638E-2</c:v>
                </c:pt>
                <c:pt idx="115">
                  <c:v>-5.4670966441600299E-2</c:v>
                </c:pt>
                <c:pt idx="116">
                  <c:v>2.3918089266418363E-2</c:v>
                </c:pt>
                <c:pt idx="117">
                  <c:v>-5.7436178956052908E-3</c:v>
                </c:pt>
                <c:pt idx="118">
                  <c:v>-3.447039411055397E-2</c:v>
                </c:pt>
                <c:pt idx="119">
                  <c:v>-7.6984129592443828E-2</c:v>
                </c:pt>
                <c:pt idx="120">
                  <c:v>1.1883461959569575E-2</c:v>
                </c:pt>
                <c:pt idx="121">
                  <c:v>9.1822372356522575E-3</c:v>
                </c:pt>
                <c:pt idx="122">
                  <c:v>4.0202301607916713E-3</c:v>
                </c:pt>
                <c:pt idx="123">
                  <c:v>1.5174377718547349E-2</c:v>
                </c:pt>
                <c:pt idx="124">
                  <c:v>4.9825192766881354E-3</c:v>
                </c:pt>
                <c:pt idx="125">
                  <c:v>-1.6526056195398819E-2</c:v>
                </c:pt>
                <c:pt idx="126">
                  <c:v>2.226540935576371E-2</c:v>
                </c:pt>
                <c:pt idx="127">
                  <c:v>8.0123511756131638E-3</c:v>
                </c:pt>
                <c:pt idx="128">
                  <c:v>2.5886478370834576E-2</c:v>
                </c:pt>
                <c:pt idx="129">
                  <c:v>-5.8414366630651915E-2</c:v>
                </c:pt>
                <c:pt idx="130">
                  <c:v>1.2450080583889855E-2</c:v>
                </c:pt>
                <c:pt idx="131">
                  <c:v>4.6268661842435055E-2</c:v>
                </c:pt>
                <c:pt idx="132">
                  <c:v>-4.3027694893333357E-2</c:v>
                </c:pt>
                <c:pt idx="133">
                  <c:v>1.7485156054374507E-2</c:v>
                </c:pt>
                <c:pt idx="134">
                  <c:v>-1.1455329104727796E-2</c:v>
                </c:pt>
                <c:pt idx="135">
                  <c:v>3.103339500225788E-3</c:v>
                </c:pt>
                <c:pt idx="136">
                  <c:v>-2.862898085111798E-2</c:v>
                </c:pt>
                <c:pt idx="137">
                  <c:v>-1.1192717383886053E-2</c:v>
                </c:pt>
                <c:pt idx="138">
                  <c:v>-3.328926620263406E-3</c:v>
                </c:pt>
                <c:pt idx="139">
                  <c:v>1.6254532411402733E-2</c:v>
                </c:pt>
                <c:pt idx="140">
                  <c:v>-2.2567794240984096E-2</c:v>
                </c:pt>
                <c:pt idx="141">
                  <c:v>1.4796104425424117E-2</c:v>
                </c:pt>
                <c:pt idx="142">
                  <c:v>4.9480253874975677E-2</c:v>
                </c:pt>
                <c:pt idx="143">
                  <c:v>-1.3681454252480019E-2</c:v>
                </c:pt>
                <c:pt idx="144">
                  <c:v>2.0700487901174069E-2</c:v>
                </c:pt>
                <c:pt idx="145">
                  <c:v>5.561344686328229E-2</c:v>
                </c:pt>
                <c:pt idx="146">
                  <c:v>-6.140831634127708E-3</c:v>
                </c:pt>
                <c:pt idx="147">
                  <c:v>-3.1879170633022369E-3</c:v>
                </c:pt>
                <c:pt idx="148">
                  <c:v>-7.3974284370540433E-3</c:v>
                </c:pt>
                <c:pt idx="149">
                  <c:v>-4.4914512411561081E-2</c:v>
                </c:pt>
                <c:pt idx="150">
                  <c:v>1.0544177074907068E-3</c:v>
                </c:pt>
                <c:pt idx="151">
                  <c:v>6.9531706727052889E-3</c:v>
                </c:pt>
                <c:pt idx="152">
                  <c:v>-3.1381014903062443E-3</c:v>
                </c:pt>
                <c:pt idx="153">
                  <c:v>1.7836880738243854E-2</c:v>
                </c:pt>
                <c:pt idx="154">
                  <c:v>-3.711047972324133E-3</c:v>
                </c:pt>
                <c:pt idx="155">
                  <c:v>-3.9113622598101694E-2</c:v>
                </c:pt>
                <c:pt idx="156">
                  <c:v>-2.8214081449331685E-2</c:v>
                </c:pt>
                <c:pt idx="157">
                  <c:v>5.8289148108872535E-2</c:v>
                </c:pt>
                <c:pt idx="158">
                  <c:v>-5.2566886001536361E-2</c:v>
                </c:pt>
                <c:pt idx="159">
                  <c:v>6.3660753317445362E-2</c:v>
                </c:pt>
                <c:pt idx="160">
                  <c:v>1.9326537613167494E-2</c:v>
                </c:pt>
                <c:pt idx="161">
                  <c:v>9.3985995340451156E-2</c:v>
                </c:pt>
                <c:pt idx="162">
                  <c:v>-4.3273046114520985E-2</c:v>
                </c:pt>
                <c:pt idx="163">
                  <c:v>9.375990257420419E-3</c:v>
                </c:pt>
                <c:pt idx="164">
                  <c:v>8.8857016226331353E-3</c:v>
                </c:pt>
                <c:pt idx="165">
                  <c:v>-2.0616795458081594E-2</c:v>
                </c:pt>
                <c:pt idx="166">
                  <c:v>0.11955935994118994</c:v>
                </c:pt>
                <c:pt idx="167">
                  <c:v>-2.8478181937061753E-2</c:v>
                </c:pt>
                <c:pt idx="168">
                  <c:v>-2.8559768600721736E-2</c:v>
                </c:pt>
                <c:pt idx="169">
                  <c:v>-1.334728742731206E-2</c:v>
                </c:pt>
                <c:pt idx="170">
                  <c:v>1.6076550735030448E-2</c:v>
                </c:pt>
                <c:pt idx="171">
                  <c:v>2.1994615663977424E-2</c:v>
                </c:pt>
                <c:pt idx="172">
                  <c:v>-8.0233929907348678E-2</c:v>
                </c:pt>
                <c:pt idx="173">
                  <c:v>-3.9010747507863819E-3</c:v>
                </c:pt>
                <c:pt idx="174">
                  <c:v>-4.9040776235559025E-2</c:v>
                </c:pt>
                <c:pt idx="175">
                  <c:v>5.8505218903310841E-3</c:v>
                </c:pt>
                <c:pt idx="176">
                  <c:v>-2.5856549505031134E-3</c:v>
                </c:pt>
                <c:pt idx="177">
                  <c:v>-9.9567940351079298E-2</c:v>
                </c:pt>
                <c:pt idx="178">
                  <c:v>-0.1112981709568569</c:v>
                </c:pt>
                <c:pt idx="179">
                  <c:v>6.423818583843266E-2</c:v>
                </c:pt>
                <c:pt idx="180">
                  <c:v>-3.474447532498659E-2</c:v>
                </c:pt>
                <c:pt idx="181">
                  <c:v>6.7787413225903981E-2</c:v>
                </c:pt>
                <c:pt idx="182">
                  <c:v>-6.3980918234937123E-3</c:v>
                </c:pt>
                <c:pt idx="183">
                  <c:v>0.10103949633118936</c:v>
                </c:pt>
                <c:pt idx="184">
                  <c:v>-5.3305565554241485E-2</c:v>
                </c:pt>
                <c:pt idx="185">
                  <c:v>5.4407752154130629E-2</c:v>
                </c:pt>
                <c:pt idx="186">
                  <c:v>2.636165539931401E-2</c:v>
                </c:pt>
                <c:pt idx="187">
                  <c:v>-2.7881274123199629E-2</c:v>
                </c:pt>
                <c:pt idx="188">
                  <c:v>1.068758519089652E-2</c:v>
                </c:pt>
                <c:pt idx="189">
                  <c:v>-7.1512010053502828E-2</c:v>
                </c:pt>
                <c:pt idx="190">
                  <c:v>3.8763016678220685E-2</c:v>
                </c:pt>
                <c:pt idx="191">
                  <c:v>9.5127454546097834E-3</c:v>
                </c:pt>
                <c:pt idx="192">
                  <c:v>-7.1755866705375926E-2</c:v>
                </c:pt>
                <c:pt idx="193">
                  <c:v>-1.1973464316061833E-2</c:v>
                </c:pt>
                <c:pt idx="194">
                  <c:v>5.9536386207527769E-2</c:v>
                </c:pt>
                <c:pt idx="195">
                  <c:v>2.3620332491635532E-2</c:v>
                </c:pt>
                <c:pt idx="196">
                  <c:v>-1.8704274484085182E-2</c:v>
                </c:pt>
                <c:pt idx="197">
                  <c:v>3.7128947929526257E-2</c:v>
                </c:pt>
                <c:pt idx="198">
                  <c:v>1.4320242005006811E-2</c:v>
                </c:pt>
                <c:pt idx="199">
                  <c:v>2.3058318572012571E-2</c:v>
                </c:pt>
                <c:pt idx="200">
                  <c:v>-1.701800358939709E-2</c:v>
                </c:pt>
                <c:pt idx="201">
                  <c:v>4.8432006178485087E-2</c:v>
                </c:pt>
                <c:pt idx="202">
                  <c:v>3.5700900761188592E-3</c:v>
                </c:pt>
                <c:pt idx="203">
                  <c:v>-6.67050843310657E-3</c:v>
                </c:pt>
                <c:pt idx="204">
                  <c:v>-4.9475123886319472E-2</c:v>
                </c:pt>
                <c:pt idx="205">
                  <c:v>-7.3001038244565608E-3</c:v>
                </c:pt>
                <c:pt idx="206">
                  <c:v>-4.7450990494345424E-3</c:v>
                </c:pt>
                <c:pt idx="207">
                  <c:v>5.1966965878776028E-2</c:v>
                </c:pt>
                <c:pt idx="208">
                  <c:v>3.1950108096936214E-2</c:v>
                </c:pt>
                <c:pt idx="209">
                  <c:v>5.6434743354166761E-2</c:v>
                </c:pt>
                <c:pt idx="210">
                  <c:v>1.8499292828985103E-2</c:v>
                </c:pt>
                <c:pt idx="211">
                  <c:v>-1.836715097168784E-2</c:v>
                </c:pt>
                <c:pt idx="212">
                  <c:v>-3.0769832741895264E-2</c:v>
                </c:pt>
                <c:pt idx="213">
                  <c:v>-2.3380680583072966E-2</c:v>
                </c:pt>
                <c:pt idx="214">
                  <c:v>1.196226259106048E-2</c:v>
                </c:pt>
                <c:pt idx="215">
                  <c:v>-2.0582810423219411E-2</c:v>
                </c:pt>
                <c:pt idx="216">
                  <c:v>2.691846820906596E-2</c:v>
                </c:pt>
                <c:pt idx="217">
                  <c:v>-2.8741826543076776E-2</c:v>
                </c:pt>
                <c:pt idx="218">
                  <c:v>-9.4711651350473103E-3</c:v>
                </c:pt>
                <c:pt idx="219">
                  <c:v>1.5057810366410962E-2</c:v>
                </c:pt>
                <c:pt idx="220">
                  <c:v>3.4848288537302929E-2</c:v>
                </c:pt>
                <c:pt idx="221">
                  <c:v>3.6404499244921951E-2</c:v>
                </c:pt>
                <c:pt idx="222">
                  <c:v>-1.5586759233712E-2</c:v>
                </c:pt>
                <c:pt idx="223">
                  <c:v>-8.6977732124947638E-3</c:v>
                </c:pt>
                <c:pt idx="224">
                  <c:v>3.8020030169047647E-2</c:v>
                </c:pt>
                <c:pt idx="225">
                  <c:v>4.9853501965575475E-3</c:v>
                </c:pt>
                <c:pt idx="226">
                  <c:v>1.2936288413305519E-3</c:v>
                </c:pt>
                <c:pt idx="227">
                  <c:v>-5.1690006276894351E-2</c:v>
                </c:pt>
                <c:pt idx="228">
                  <c:v>-3.7247099737553135E-2</c:v>
                </c:pt>
                <c:pt idx="229">
                  <c:v>2.3558069840867724E-4</c:v>
                </c:pt>
                <c:pt idx="230">
                  <c:v>1.5801018045717541E-2</c:v>
                </c:pt>
                <c:pt idx="231">
                  <c:v>-3.2272921566122381E-2</c:v>
                </c:pt>
                <c:pt idx="232">
                  <c:v>4.9664405464698191E-2</c:v>
                </c:pt>
                <c:pt idx="233">
                  <c:v>-1.0057312863639978E-2</c:v>
                </c:pt>
                <c:pt idx="234">
                  <c:v>3.694402790761897E-2</c:v>
                </c:pt>
                <c:pt idx="235">
                  <c:v>-1.4697051059999966E-2</c:v>
                </c:pt>
                <c:pt idx="236">
                  <c:v>3.0508053039060901E-2</c:v>
                </c:pt>
                <c:pt idx="237">
                  <c:v>2.8514348795738442E-3</c:v>
                </c:pt>
                <c:pt idx="238">
                  <c:v>3.2364017202575868E-2</c:v>
                </c:pt>
                <c:pt idx="239">
                  <c:v>-2.4783398878466034E-2</c:v>
                </c:pt>
                <c:pt idx="240">
                  <c:v>1.5684989922062353E-3</c:v>
                </c:pt>
                <c:pt idx="241">
                  <c:v>3.2150281165795658E-2</c:v>
                </c:pt>
                <c:pt idx="242">
                  <c:v>1.5243989471940278E-3</c:v>
                </c:pt>
                <c:pt idx="243">
                  <c:v>8.6992212885794729E-3</c:v>
                </c:pt>
                <c:pt idx="244">
                  <c:v>-9.7022221719866852E-3</c:v>
                </c:pt>
                <c:pt idx="245">
                  <c:v>-1.1104151894183123E-2</c:v>
                </c:pt>
                <c:pt idx="246">
                  <c:v>-5.7247888551287263E-3</c:v>
                </c:pt>
                <c:pt idx="247">
                  <c:v>4.1852521482736771E-2</c:v>
                </c:pt>
                <c:pt idx="248">
                  <c:v>-5.4623879353928428E-2</c:v>
                </c:pt>
                <c:pt idx="249">
                  <c:v>3.5976257437964065E-3</c:v>
                </c:pt>
                <c:pt idx="250">
                  <c:v>4.3458603129959084E-2</c:v>
                </c:pt>
                <c:pt idx="251">
                  <c:v>-4.7226614595936578E-3</c:v>
                </c:pt>
                <c:pt idx="252">
                  <c:v>2.0491299290006149E-2</c:v>
                </c:pt>
                <c:pt idx="253">
                  <c:v>-1.9023003789641502E-2</c:v>
                </c:pt>
                <c:pt idx="254">
                  <c:v>2.9087843848219608E-2</c:v>
                </c:pt>
                <c:pt idx="255">
                  <c:v>2.7220152709461098E-2</c:v>
                </c:pt>
                <c:pt idx="256">
                  <c:v>3.7504975463285684E-2</c:v>
                </c:pt>
                <c:pt idx="257">
                  <c:v>1.6306341913066458E-2</c:v>
                </c:pt>
                <c:pt idx="258">
                  <c:v>2.5131140750349168E-2</c:v>
                </c:pt>
                <c:pt idx="259">
                  <c:v>-6.4120465908277247E-3</c:v>
                </c:pt>
                <c:pt idx="260">
                  <c:v>9.8120932407542272E-2</c:v>
                </c:pt>
                <c:pt idx="261">
                  <c:v>-1.0888313806322936E-2</c:v>
                </c:pt>
                <c:pt idx="262">
                  <c:v>3.6697730923764826E-3</c:v>
                </c:pt>
                <c:pt idx="263">
                  <c:v>-1.6365183741825939E-2</c:v>
                </c:pt>
                <c:pt idx="264">
                  <c:v>8.8493419824131614E-4</c:v>
                </c:pt>
                <c:pt idx="265">
                  <c:v>0.13987675179089987</c:v>
                </c:pt>
                <c:pt idx="266">
                  <c:v>7.9364918002122753E-3</c:v>
                </c:pt>
                <c:pt idx="267">
                  <c:v>-4.0669052971736619E-2</c:v>
                </c:pt>
                <c:pt idx="268">
                  <c:v>-1.0640601870542388E-2</c:v>
                </c:pt>
                <c:pt idx="269">
                  <c:v>2.0500570109675875E-2</c:v>
                </c:pt>
                <c:pt idx="270">
                  <c:v>1.3008947881945732E-2</c:v>
                </c:pt>
                <c:pt idx="271">
                  <c:v>4.437559619749365E-2</c:v>
                </c:pt>
                <c:pt idx="272">
                  <c:v>-1.8366105578532355E-2</c:v>
                </c:pt>
                <c:pt idx="273">
                  <c:v>-1.2683713309978861E-3</c:v>
                </c:pt>
                <c:pt idx="274">
                  <c:v>-3.0004708471332964E-2</c:v>
                </c:pt>
                <c:pt idx="275">
                  <c:v>-9.4929568718367108E-3</c:v>
                </c:pt>
                <c:pt idx="276">
                  <c:v>-2.9738207640819248E-3</c:v>
                </c:pt>
                <c:pt idx="277">
                  <c:v>-6.7119974176563457E-2</c:v>
                </c:pt>
                <c:pt idx="278">
                  <c:v>1.5278701490122781E-2</c:v>
                </c:pt>
                <c:pt idx="279">
                  <c:v>1.7494201795231756E-3</c:v>
                </c:pt>
                <c:pt idx="280">
                  <c:v>1.7117912226654042E-2</c:v>
                </c:pt>
                <c:pt idx="281">
                  <c:v>2.8164455922311538E-2</c:v>
                </c:pt>
                <c:pt idx="282">
                  <c:v>5.6956503369457234E-2</c:v>
                </c:pt>
                <c:pt idx="283">
                  <c:v>1.4380465751206994E-2</c:v>
                </c:pt>
                <c:pt idx="284">
                  <c:v>-4.6424176865641487E-2</c:v>
                </c:pt>
                <c:pt idx="285">
                  <c:v>1.8296777659541297E-2</c:v>
                </c:pt>
                <c:pt idx="286">
                  <c:v>6.0645874761576346E-2</c:v>
                </c:pt>
                <c:pt idx="287">
                  <c:v>-1.5278143129761834E-2</c:v>
                </c:pt>
                <c:pt idx="288">
                  <c:v>3.3794003164818287E-2</c:v>
                </c:pt>
                <c:pt idx="289">
                  <c:v>1.2779168451991563E-2</c:v>
                </c:pt>
                <c:pt idx="290">
                  <c:v>-1.159086017115829E-2</c:v>
                </c:pt>
                <c:pt idx="291">
                  <c:v>0.14873106119272839</c:v>
                </c:pt>
                <c:pt idx="292">
                  <c:v>3.512291344579288E-2</c:v>
                </c:pt>
                <c:pt idx="293">
                  <c:v>2.7106714631136786E-2</c:v>
                </c:pt>
                <c:pt idx="294">
                  <c:v>3.0539332215825166E-2</c:v>
                </c:pt>
                <c:pt idx="295">
                  <c:v>-5.1221469462515712E-3</c:v>
                </c:pt>
                <c:pt idx="296">
                  <c:v>-2.0838455864273575E-2</c:v>
                </c:pt>
                <c:pt idx="297">
                  <c:v>-5.0069745471126303E-4</c:v>
                </c:pt>
                <c:pt idx="298">
                  <c:v>-7.7654642886687553E-3</c:v>
                </c:pt>
                <c:pt idx="299">
                  <c:v>1.3759605245077466E-2</c:v>
                </c:pt>
                <c:pt idx="300">
                  <c:v>7.3461213362675526E-3</c:v>
                </c:pt>
                <c:pt idx="301">
                  <c:v>-1.1619547691095744E-2</c:v>
                </c:pt>
                <c:pt idx="302">
                  <c:v>2.3386866092638847E-2</c:v>
                </c:pt>
                <c:pt idx="303">
                  <c:v>3.8738804720850561E-2</c:v>
                </c:pt>
                <c:pt idx="304">
                  <c:v>5.2588713280605326E-2</c:v>
                </c:pt>
                <c:pt idx="305">
                  <c:v>6.594021019937113E-3</c:v>
                </c:pt>
                <c:pt idx="306">
                  <c:v>8.8833719601342231E-3</c:v>
                </c:pt>
                <c:pt idx="307">
                  <c:v>4.3362784802799315E-2</c:v>
                </c:pt>
                <c:pt idx="308">
                  <c:v>2.1101238205949446E-3</c:v>
                </c:pt>
                <c:pt idx="309">
                  <c:v>-3.2631933344362762E-2</c:v>
                </c:pt>
                <c:pt idx="310">
                  <c:v>5.1360660559543136E-2</c:v>
                </c:pt>
                <c:pt idx="311">
                  <c:v>-1.7284561686225941E-2</c:v>
                </c:pt>
                <c:pt idx="312">
                  <c:v>2.2011478817131946E-2</c:v>
                </c:pt>
                <c:pt idx="313">
                  <c:v>-5.100978463221606E-2</c:v>
                </c:pt>
                <c:pt idx="314">
                  <c:v>6.4719660148236935E-2</c:v>
                </c:pt>
                <c:pt idx="315">
                  <c:v>3.5288063918567536E-2</c:v>
                </c:pt>
                <c:pt idx="316">
                  <c:v>9.2597780424574783E-3</c:v>
                </c:pt>
                <c:pt idx="317">
                  <c:v>-9.8583066157206245E-3</c:v>
                </c:pt>
                <c:pt idx="318">
                  <c:v>-7.2356910922987572E-2</c:v>
                </c:pt>
                <c:pt idx="319">
                  <c:v>4.0358691936448476E-3</c:v>
                </c:pt>
                <c:pt idx="320">
                  <c:v>-1.52092805285996E-2</c:v>
                </c:pt>
                <c:pt idx="321">
                  <c:v>-2.8681194808780064E-2</c:v>
                </c:pt>
                <c:pt idx="322">
                  <c:v>4.0317936579150171E-2</c:v>
                </c:pt>
                <c:pt idx="323">
                  <c:v>3.3515246916792529E-2</c:v>
                </c:pt>
                <c:pt idx="324">
                  <c:v>-3.4646937947050871E-2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3A-4215-950D-960A335B7AAF}"/>
            </c:ext>
          </c:extLst>
        </c:ser>
        <c:ser>
          <c:idx val="1"/>
          <c:order val="1"/>
          <c:tx>
            <c:v>Fitted Return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[1]Regreesion!$L$5:$L$329</c:f>
              <c:strCache>
                <c:ptCount val="325"/>
                <c:pt idx="0">
                  <c:v>0.0182112543884121</c:v>
                </c:pt>
                <c:pt idx="1">
                  <c:v>0.00442395005742946</c:v>
                </c:pt>
                <c:pt idx="2">
                  <c:v>-0.00724294942641646</c:v>
                </c:pt>
                <c:pt idx="3">
                  <c:v>0.0356017125756143</c:v>
                </c:pt>
                <c:pt idx="4">
                  <c:v>0.002941278099025</c:v>
                </c:pt>
                <c:pt idx="5">
                  <c:v>0.0191116362054167</c:v>
                </c:pt>
                <c:pt idx="6">
                  <c:v>0.00863975074261347</c:v>
                </c:pt>
                <c:pt idx="7">
                  <c:v>0.00705827765487621</c:v>
                </c:pt>
                <c:pt idx="8">
                  <c:v>-0.00398736993901194</c:v>
                </c:pt>
                <c:pt idx="9">
                  <c:v>0.00350863791890021</c:v>
                </c:pt>
                <c:pt idx="10">
                  <c:v>-0.00198019308553044</c:v>
                </c:pt>
                <c:pt idx="11">
                  <c:v>0.000218457775254421</c:v>
                </c:pt>
                <c:pt idx="12">
                  <c:v>0.0113476245834874</c:v>
                </c:pt>
                <c:pt idx="13">
                  <c:v>0.00141075575772365</c:v>
                </c:pt>
                <c:pt idx="14">
                  <c:v>0.0202200493085398</c:v>
                </c:pt>
                <c:pt idx="15">
                  <c:v>-0.00768039404864662</c:v>
                </c:pt>
                <c:pt idx="16">
                  <c:v>-0.00390543789113518</c:v>
                </c:pt>
                <c:pt idx="17">
                  <c:v>0.0161931045373647</c:v>
                </c:pt>
                <c:pt idx="18">
                  <c:v>0.0143453574226193</c:v>
                </c:pt>
                <c:pt idx="19">
                  <c:v>-0.00891562636728327</c:v>
                </c:pt>
                <c:pt idx="20">
                  <c:v>0.00750426105903457</c:v>
                </c:pt>
                <c:pt idx="21">
                  <c:v>0.0171718422987468</c:v>
                </c:pt>
                <c:pt idx="22">
                  <c:v>0.0148144072693597</c:v>
                </c:pt>
                <c:pt idx="23">
                  <c:v>-0.0027719928409794</c:v>
                </c:pt>
                <c:pt idx="24">
                  <c:v>0.0201011857261475</c:v>
                </c:pt>
                <c:pt idx="25">
                  <c:v>-0.00805673087167935</c:v>
                </c:pt>
                <c:pt idx="26">
                  <c:v>0.000567452153769743</c:v>
                </c:pt>
                <c:pt idx="27">
                  <c:v>0.0138860000398231</c:v>
                </c:pt>
                <c:pt idx="28">
                  <c:v>-0.00365310801320218</c:v>
                </c:pt>
                <c:pt idx="29">
                  <c:v>-0.0265392709026337</c:v>
                </c:pt>
                <c:pt idx="30">
                  <c:v>-0.0229748205159712</c:v>
                </c:pt>
                <c:pt idx="31">
                  <c:v>0.0200371316180061</c:v>
                </c:pt>
                <c:pt idx="32">
                  <c:v>0.0154309169659277</c:v>
                </c:pt>
                <c:pt idx="33">
                  <c:v>0.0119120833178201</c:v>
                </c:pt>
                <c:pt idx="34">
                  <c:v>0.00478463769204973</c:v>
                </c:pt>
                <c:pt idx="35">
                  <c:v>0.00955698399938476</c:v>
                </c:pt>
                <c:pt idx="36">
                  <c:v>-0.00193988850397031</c:v>
                </c:pt>
                <c:pt idx="37">
                  <c:v>-0.0295990020592755</c:v>
                </c:pt>
                <c:pt idx="38">
                  <c:v>0.0139041209958335</c:v>
                </c:pt>
                <c:pt idx="39">
                  <c:v>0.0064953707062827</c:v>
                </c:pt>
                <c:pt idx="40">
                  <c:v>0.0135172392657421</c:v>
                </c:pt>
                <c:pt idx="41">
                  <c:v>-0.0103679484512914</c:v>
                </c:pt>
                <c:pt idx="42">
                  <c:v>0.00843366841043491</c:v>
                </c:pt>
                <c:pt idx="43">
                  <c:v>0.0168605731827454</c:v>
                </c:pt>
                <c:pt idx="44">
                  <c:v>-0.0122869881917603</c:v>
                </c:pt>
                <c:pt idx="45">
                  <c:v>0.0206635610421675</c:v>
                </c:pt>
                <c:pt idx="46">
                  <c:v>-0.0202452087847549</c:v>
                </c:pt>
                <c:pt idx="47">
                  <c:v>0.00486968019806211</c:v>
                </c:pt>
                <c:pt idx="48">
                  <c:v>0.0114151512201268</c:v>
                </c:pt>
                <c:pt idx="49">
                  <c:v>0.000782242817938705</c:v>
                </c:pt>
                <c:pt idx="50">
                  <c:v>-0.0109478754555945</c:v>
                </c:pt>
                <c:pt idx="51">
                  <c:v>0.029037953769059</c:v>
                </c:pt>
                <c:pt idx="52">
                  <c:v>0.0194981158208243</c:v>
                </c:pt>
                <c:pt idx="53">
                  <c:v>0.00373902973999596</c:v>
                </c:pt>
                <c:pt idx="54">
                  <c:v>-0.0103406785574417</c:v>
                </c:pt>
                <c:pt idx="55">
                  <c:v>0.000763553647482151</c:v>
                </c:pt>
                <c:pt idx="56">
                  <c:v>0.0156898697959165</c:v>
                </c:pt>
                <c:pt idx="57">
                  <c:v>0.00464537592356562</c:v>
                </c:pt>
                <c:pt idx="58">
                  <c:v>-0.094451304749811</c:v>
                </c:pt>
                <c:pt idx="59">
                  <c:v>-0.0281084830417454</c:v>
                </c:pt>
                <c:pt idx="60">
                  <c:v>-0.10784968102247</c:v>
                </c:pt>
                <c:pt idx="61">
                  <c:v>-0.130314353905551</c:v>
                </c:pt>
                <c:pt idx="62">
                  <c:v>0.00572432359165598</c:v>
                </c:pt>
                <c:pt idx="63">
                  <c:v>0.0465454121366538</c:v>
                </c:pt>
                <c:pt idx="64">
                  <c:v>0.0631610108003713</c:v>
                </c:pt>
                <c:pt idx="65">
                  <c:v>0.01860407675715</c:v>
                </c:pt>
                <c:pt idx="66">
                  <c:v>-0.0445798320569171</c:v>
                </c:pt>
                <c:pt idx="67">
                  <c:v>0.00149687205246996</c:v>
                </c:pt>
                <c:pt idx="68">
                  <c:v>0.0276765288213825</c:v>
                </c:pt>
                <c:pt idx="69">
                  <c:v>0.00257684835505678</c:v>
                </c:pt>
                <c:pt idx="70">
                  <c:v>0.0176189861455724</c:v>
                </c:pt>
                <c:pt idx="71">
                  <c:v>0.0472386135814562</c:v>
                </c:pt>
                <c:pt idx="72">
                  <c:v>0.042248308654256</c:v>
                </c:pt>
                <c:pt idx="73">
                  <c:v>-0.0251557170950871</c:v>
                </c:pt>
                <c:pt idx="74">
                  <c:v>0.0162053691159865</c:v>
                </c:pt>
                <c:pt idx="75">
                  <c:v>-0.00647849745394335</c:v>
                </c:pt>
                <c:pt idx="76">
                  <c:v>0.0274488351372366</c:v>
                </c:pt>
                <c:pt idx="77">
                  <c:v>-0.022817869550712</c:v>
                </c:pt>
                <c:pt idx="78">
                  <c:v>0.0193382862268612</c:v>
                </c:pt>
                <c:pt idx="79">
                  <c:v>-0.00159572779526551</c:v>
                </c:pt>
                <c:pt idx="80">
                  <c:v>-0.0159444176473932</c:v>
                </c:pt>
                <c:pt idx="81">
                  <c:v>0.0137126974029014</c:v>
                </c:pt>
                <c:pt idx="82">
                  <c:v>0.0203383058995803</c:v>
                </c:pt>
                <c:pt idx="83">
                  <c:v>-0.000545490403098703</c:v>
                </c:pt>
                <c:pt idx="84">
                  <c:v>-0.00262151705755764</c:v>
                </c:pt>
                <c:pt idx="85">
                  <c:v>-0.0199015680033869</c:v>
                </c:pt>
                <c:pt idx="86">
                  <c:v>-0.00970985823001302</c:v>
                </c:pt>
                <c:pt idx="87">
                  <c:v>0.00110943852480139</c:v>
                </c:pt>
                <c:pt idx="88">
                  <c:v>0.017295086865911</c:v>
                </c:pt>
                <c:pt idx="89">
                  <c:v>-0.0289880550479014</c:v>
                </c:pt>
                <c:pt idx="90">
                  <c:v>0.0537777747587529</c:v>
                </c:pt>
                <c:pt idx="91">
                  <c:v>0.0122565589805061</c:v>
                </c:pt>
                <c:pt idx="92">
                  <c:v>-0.0015776845776212</c:v>
                </c:pt>
                <c:pt idx="93">
                  <c:v>-0.0388300946908239</c:v>
                </c:pt>
                <c:pt idx="94">
                  <c:v>0.0443958566383287</c:v>
                </c:pt>
                <c:pt idx="95">
                  <c:v>0.0373351426359443</c:v>
                </c:pt>
                <c:pt idx="96">
                  <c:v>0.0213108958818413</c:v>
                </c:pt>
                <c:pt idx="97">
                  <c:v>0.00960174049737517</c:v>
                </c:pt>
                <c:pt idx="98">
                  <c:v>0.00515909180975416</c:v>
                </c:pt>
                <c:pt idx="99">
                  <c:v>0.00129556831412514</c:v>
                </c:pt>
                <c:pt idx="100">
                  <c:v>0.00495109596495347</c:v>
                </c:pt>
                <c:pt idx="101">
                  <c:v>-0.00153874260474607</c:v>
                </c:pt>
                <c:pt idx="102">
                  <c:v>-0.0103589146545147</c:v>
                </c:pt>
                <c:pt idx="103">
                  <c:v>0.0259540384365655</c:v>
                </c:pt>
                <c:pt idx="104">
                  <c:v>-0.00626186625004799</c:v>
                </c:pt>
                <c:pt idx="105">
                  <c:v>0.0126475881718613</c:v>
                </c:pt>
                <c:pt idx="106">
                  <c:v>-0.0283821530123032</c:v>
                </c:pt>
                <c:pt idx="107">
                  <c:v>0.0352900595027141</c:v>
                </c:pt>
                <c:pt idx="108">
                  <c:v>-0.00474072727749597</c:v>
                </c:pt>
                <c:pt idx="109">
                  <c:v>0.00109681647229443</c:v>
                </c:pt>
                <c:pt idx="110">
                  <c:v>-0.0151580218729036</c:v>
                </c:pt>
                <c:pt idx="111">
                  <c:v>0.0136784486035173</c:v>
                </c:pt>
                <c:pt idx="112">
                  <c:v>0.00898574018312637</c:v>
                </c:pt>
                <c:pt idx="113">
                  <c:v>-0.0085205583645348</c:v>
                </c:pt>
                <c:pt idx="114">
                  <c:v>0.0174575273820532</c:v>
                </c:pt>
                <c:pt idx="115">
                  <c:v>0.000914585467971074</c:v>
                </c:pt>
                <c:pt idx="116">
                  <c:v>0.024416002485113</c:v>
                </c:pt>
                <c:pt idx="117">
                  <c:v>0.00983954654522678</c:v>
                </c:pt>
                <c:pt idx="118">
                  <c:v>-0.000365373747208464</c:v>
                </c:pt>
                <c:pt idx="119">
                  <c:v>-0.00494143302894545</c:v>
                </c:pt>
                <c:pt idx="120">
                  <c:v>0.00790841491450966</c:v>
                </c:pt>
                <c:pt idx="121">
                  <c:v>-0.00498509223469745</c:v>
                </c:pt>
                <c:pt idx="122">
                  <c:v>0.00301561358109304</c:v>
                </c:pt>
                <c:pt idx="123">
                  <c:v>0.0214314709154935</c:v>
                </c:pt>
                <c:pt idx="124">
                  <c:v>0.0161741048961999</c:v>
                </c:pt>
                <c:pt idx="125">
                  <c:v>0.00239544222296506</c:v>
                </c:pt>
                <c:pt idx="126">
                  <c:v>0.00772912448770979</c:v>
                </c:pt>
                <c:pt idx="127">
                  <c:v>-0.00821082943907303</c:v>
                </c:pt>
                <c:pt idx="128">
                  <c:v>0.0014882529485245</c:v>
                </c:pt>
                <c:pt idx="129">
                  <c:v>-0.00474921612751089</c:v>
                </c:pt>
                <c:pt idx="130">
                  <c:v>0.0102880476137477</c:v>
                </c:pt>
                <c:pt idx="131">
                  <c:v>0.00629126431231808</c:v>
                </c:pt>
                <c:pt idx="132">
                  <c:v>-0.00023369079136748</c:v>
                </c:pt>
                <c:pt idx="133">
                  <c:v>0.0197282410435944</c:v>
                </c:pt>
                <c:pt idx="134">
                  <c:v>0.0138130298656423</c:v>
                </c:pt>
                <c:pt idx="135">
                  <c:v>-0.0188504855669626</c:v>
                </c:pt>
                <c:pt idx="136">
                  <c:v>0.00553355069580341</c:v>
                </c:pt>
                <c:pt idx="137">
                  <c:v>0.0126833928370875</c:v>
                </c:pt>
                <c:pt idx="138">
                  <c:v>-0.0116461189790136</c:v>
                </c:pt>
                <c:pt idx="139">
                  <c:v>-0.000124355317023483</c:v>
                </c:pt>
                <c:pt idx="140">
                  <c:v>-0.00805427084420041</c:v>
                </c:pt>
                <c:pt idx="141">
                  <c:v>-0.0213334639883392</c:v>
                </c:pt>
                <c:pt idx="142">
                  <c:v>0.0187757116910303</c:v>
                </c:pt>
                <c:pt idx="143">
                  <c:v>0.0058131328817399</c:v>
                </c:pt>
                <c:pt idx="144">
                  <c:v>0.00726680234538279</c:v>
                </c:pt>
                <c:pt idx="145">
                  <c:v>-0.0122762581630627</c:v>
                </c:pt>
                <c:pt idx="146">
                  <c:v>0.0197399919470602</c:v>
                </c:pt>
                <c:pt idx="147">
                  <c:v>0.000116940404448762</c:v>
                </c:pt>
                <c:pt idx="148">
                  <c:v>-0.00453726808696764</c:v>
                </c:pt>
                <c:pt idx="149">
                  <c:v>-0.0157419981831066</c:v>
                </c:pt>
                <c:pt idx="150">
                  <c:v>-0.00491877598228785</c:v>
                </c:pt>
                <c:pt idx="151">
                  <c:v>0.0155254975971633</c:v>
                </c:pt>
                <c:pt idx="152">
                  <c:v>-0.00673799147533172</c:v>
                </c:pt>
                <c:pt idx="153">
                  <c:v>0.0159962329870396</c:v>
                </c:pt>
                <c:pt idx="154">
                  <c:v>0.0044190302345164</c:v>
                </c:pt>
                <c:pt idx="155">
                  <c:v>0.00119989833891343</c:v>
                </c:pt>
                <c:pt idx="156">
                  <c:v>-0.00798138108097668</c:v>
                </c:pt>
                <c:pt idx="157">
                  <c:v>-0.0294900085970078</c:v>
                </c:pt>
                <c:pt idx="158">
                  <c:v>-0.0261532779857634</c:v>
                </c:pt>
                <c:pt idx="159">
                  <c:v>0.0189157134601032</c:v>
                </c:pt>
                <c:pt idx="160">
                  <c:v>0.0136805222402701</c:v>
                </c:pt>
                <c:pt idx="161">
                  <c:v>0.00325316047824686</c:v>
                </c:pt>
                <c:pt idx="162">
                  <c:v>-0.0210830504722129</c:v>
                </c:pt>
                <c:pt idx="163">
                  <c:v>0.0195332813113254</c:v>
                </c:pt>
                <c:pt idx="164">
                  <c:v>-0.00347875279787169</c:v>
                </c:pt>
                <c:pt idx="165">
                  <c:v>0.0328494441674014</c:v>
                </c:pt>
                <c:pt idx="166">
                  <c:v>0.0155448307067596</c:v>
                </c:pt>
                <c:pt idx="167">
                  <c:v>0.0120799923731087</c:v>
                </c:pt>
                <c:pt idx="168">
                  <c:v>-0.00209025695514065</c:v>
                </c:pt>
                <c:pt idx="169">
                  <c:v>0.00611189746208618</c:v>
                </c:pt>
                <c:pt idx="170">
                  <c:v>-0.00662106629158665</c:v>
                </c:pt>
                <c:pt idx="171">
                  <c:v>-0.00512011196257844</c:v>
                </c:pt>
                <c:pt idx="172">
                  <c:v>-0.0307600532306054</c:v>
                </c:pt>
                <c:pt idx="173">
                  <c:v>-0.0151516923043566</c:v>
                </c:pt>
                <c:pt idx="174">
                  <c:v>0.0122245257788018</c:v>
                </c:pt>
                <c:pt idx="175">
                  <c:v>0.00552303997596137</c:v>
                </c:pt>
                <c:pt idx="176">
                  <c:v>0.0078601290311926</c:v>
                </c:pt>
                <c:pt idx="177">
                  <c:v>-0.0421943181260744</c:v>
                </c:pt>
                <c:pt idx="178">
                  <c:v>-0.0659525961507789</c:v>
                </c:pt>
                <c:pt idx="179">
                  <c:v>0.0161016511856094</c:v>
                </c:pt>
                <c:pt idx="180">
                  <c:v>-0.00441066678660706</c:v>
                </c:pt>
                <c:pt idx="181">
                  <c:v>0.0211489712266182</c:v>
                </c:pt>
                <c:pt idx="182">
                  <c:v>-0.0107706542772605</c:v>
                </c:pt>
                <c:pt idx="183">
                  <c:v>0.0281474599103435</c:v>
                </c:pt>
                <c:pt idx="184">
                  <c:v>0.0226238739361215</c:v>
                </c:pt>
                <c:pt idx="185">
                  <c:v>0.0101439664014886</c:v>
                </c:pt>
                <c:pt idx="186">
                  <c:v>0.00354088674780972</c:v>
                </c:pt>
                <c:pt idx="187">
                  <c:v>0.0146622534401637</c:v>
                </c:pt>
                <c:pt idx="188">
                  <c:v>0.000236431211471766</c:v>
                </c:pt>
                <c:pt idx="189">
                  <c:v>-0.0271080585372561</c:v>
                </c:pt>
                <c:pt idx="190">
                  <c:v>0.0155804439506724</c:v>
                </c:pt>
                <c:pt idx="191">
                  <c:v>-0.0215713026018907</c:v>
                </c:pt>
                <c:pt idx="192">
                  <c:v>-0.0241319004565318</c:v>
                </c:pt>
                <c:pt idx="193">
                  <c:v>-0.0152018189864271</c:v>
                </c:pt>
                <c:pt idx="194">
                  <c:v>0.0446424648158501</c:v>
                </c:pt>
                <c:pt idx="195">
                  <c:v>-0.000468055732697037</c:v>
                </c:pt>
                <c:pt idx="196">
                  <c:v>-0.012143079587816</c:v>
                </c:pt>
                <c:pt idx="197">
                  <c:v>0.0165432535297412</c:v>
                </c:pt>
                <c:pt idx="198">
                  <c:v>0.0157547026868372</c:v>
                </c:pt>
                <c:pt idx="199">
                  <c:v>0.0408565729800507</c:v>
                </c:pt>
                <c:pt idx="200">
                  <c:v>0.00244951737195009</c:v>
                </c:pt>
                <c:pt idx="201">
                  <c:v>0.0151909738140208</c:v>
                </c:pt>
                <c:pt idx="202">
                  <c:v>0.00594456280494571</c:v>
                </c:pt>
                <c:pt idx="203">
                  <c:v>-0.0118533101926458</c:v>
                </c:pt>
                <c:pt idx="204">
                  <c:v>-0.00894293331797213</c:v>
                </c:pt>
                <c:pt idx="205">
                  <c:v>-0.00565754219280046</c:v>
                </c:pt>
                <c:pt idx="206">
                  <c:v>-0.00822221169601112</c:v>
                </c:pt>
                <c:pt idx="207">
                  <c:v>0.0100737432537938</c:v>
                </c:pt>
                <c:pt idx="208">
                  <c:v>0.0307717251652293</c:v>
                </c:pt>
                <c:pt idx="209">
                  <c:v>0.0169286797843713</c:v>
                </c:pt>
                <c:pt idx="210">
                  <c:v>0.00559273781730041</c:v>
                </c:pt>
                <c:pt idx="211">
                  <c:v>0.00857705479283877</c:v>
                </c:pt>
                <c:pt idx="212">
                  <c:v>-0.016383769185341</c:v>
                </c:pt>
                <c:pt idx="213">
                  <c:v>-0.0110903521016401</c:v>
                </c:pt>
                <c:pt idx="214">
                  <c:v>-0.00130338685334164</c:v>
                </c:pt>
                <c:pt idx="215">
                  <c:v>0.000764587492426472</c:v>
                </c:pt>
                <c:pt idx="216">
                  <c:v>-0.00903429836935321</c:v>
                </c:pt>
                <c:pt idx="217">
                  <c:v>-0.0206531741861556</c:v>
                </c:pt>
                <c:pt idx="218">
                  <c:v>-0.00549170029581136</c:v>
                </c:pt>
                <c:pt idx="219">
                  <c:v>0.032257484521248</c:v>
                </c:pt>
                <c:pt idx="220">
                  <c:v>0.00577363057771607</c:v>
                </c:pt>
                <c:pt idx="221">
                  <c:v>0.01977722617667</c:v>
                </c:pt>
                <c:pt idx="222">
                  <c:v>-0.00407675785074013</c:v>
                </c:pt>
                <c:pt idx="223">
                  <c:v>-0.00289602411757284</c:v>
                </c:pt>
                <c:pt idx="224">
                  <c:v>-0.0121959457206302</c:v>
                </c:pt>
                <c:pt idx="225">
                  <c:v>0.00857069518160758</c:v>
                </c:pt>
                <c:pt idx="226">
                  <c:v>0.00570606825170827</c:v>
                </c:pt>
                <c:pt idx="227">
                  <c:v>-0.0168276096641361</c:v>
                </c:pt>
                <c:pt idx="228">
                  <c:v>-0.00133643647428638</c:v>
                </c:pt>
                <c:pt idx="229">
                  <c:v>-0.00312008293520138</c:v>
                </c:pt>
                <c:pt idx="230">
                  <c:v>0.0182122626012795</c:v>
                </c:pt>
                <c:pt idx="231">
                  <c:v>-0.0209292544554738</c:v>
                </c:pt>
                <c:pt idx="232">
                  <c:v>0.016278593732213</c:v>
                </c:pt>
                <c:pt idx="233">
                  <c:v>-0.0223342097551036</c:v>
                </c:pt>
                <c:pt idx="234">
                  <c:v>0.0370463461148984</c:v>
                </c:pt>
                <c:pt idx="235">
                  <c:v>0.00155054335113247</c:v>
                </c:pt>
                <c:pt idx="236">
                  <c:v>0.0122725408162923</c:v>
                </c:pt>
                <c:pt idx="237">
                  <c:v>-0.0105576999190431</c:v>
                </c:pt>
                <c:pt idx="238">
                  <c:v>0.00265738498533086</c:v>
                </c:pt>
                <c:pt idx="239">
                  <c:v>-0.0227340471707612</c:v>
                </c:pt>
                <c:pt idx="240">
                  <c:v>-0.00388079954327758</c:v>
                </c:pt>
                <c:pt idx="241">
                  <c:v>0.0280902801286598</c:v>
                </c:pt>
                <c:pt idx="242">
                  <c:v>-0.00974476481466779</c:v>
                </c:pt>
                <c:pt idx="243">
                  <c:v>0.0186849020433506</c:v>
                </c:pt>
                <c:pt idx="244">
                  <c:v>-0.0286941897702817</c:v>
                </c:pt>
                <c:pt idx="245">
                  <c:v>-0.00266324516654826</c:v>
                </c:pt>
                <c:pt idx="246">
                  <c:v>-0.0133633969378782</c:v>
                </c:pt>
                <c:pt idx="247">
                  <c:v>0.0140059683061666</c:v>
                </c:pt>
                <c:pt idx="248">
                  <c:v>-0.0213166073789675</c:v>
                </c:pt>
                <c:pt idx="249">
                  <c:v>-0.0105318213664444</c:v>
                </c:pt>
                <c:pt idx="250">
                  <c:v>0.0221952311745639</c:v>
                </c:pt>
                <c:pt idx="251">
                  <c:v>0.00157379183007156</c:v>
                </c:pt>
                <c:pt idx="252">
                  <c:v>0.0146424074325138</c:v>
                </c:pt>
                <c:pt idx="253">
                  <c:v>-0.00109181336094999</c:v>
                </c:pt>
                <c:pt idx="254">
                  <c:v>0.00490253644441263</c:v>
                </c:pt>
                <c:pt idx="255">
                  <c:v>0.0172858841426233</c:v>
                </c:pt>
                <c:pt idx="256">
                  <c:v>0.0345090435854438</c:v>
                </c:pt>
                <c:pt idx="257">
                  <c:v>0.00790855997846474</c:v>
                </c:pt>
                <c:pt idx="258">
                  <c:v>0.0132454625384792</c:v>
                </c:pt>
                <c:pt idx="259">
                  <c:v>-0.013403822829636</c:v>
                </c:pt>
                <c:pt idx="260">
                  <c:v>0.00126855341261112</c:v>
                </c:pt>
                <c:pt idx="261">
                  <c:v>-0.0102752808551585</c:v>
                </c:pt>
                <c:pt idx="262">
                  <c:v>0.0180732654151359</c:v>
                </c:pt>
                <c:pt idx="263">
                  <c:v>0.0190875483549431</c:v>
                </c:pt>
                <c:pt idx="264">
                  <c:v>-0.00706979841161348</c:v>
                </c:pt>
                <c:pt idx="265">
                  <c:v>0.00196705100987216</c:v>
                </c:pt>
                <c:pt idx="266">
                  <c:v>0.00188819804242768</c:v>
                </c:pt>
                <c:pt idx="267">
                  <c:v>0.0172711376796979</c:v>
                </c:pt>
                <c:pt idx="268">
                  <c:v>0.020415740120872</c:v>
                </c:pt>
                <c:pt idx="269">
                  <c:v>-0.0216278246675298</c:v>
                </c:pt>
                <c:pt idx="270">
                  <c:v>0.0132784458141513</c:v>
                </c:pt>
                <c:pt idx="271">
                  <c:v>0.0164635164621985</c:v>
                </c:pt>
                <c:pt idx="272">
                  <c:v>-0.0155962536069086</c:v>
                </c:pt>
                <c:pt idx="273">
                  <c:v>0.00191830159429718</c:v>
                </c:pt>
                <c:pt idx="274">
                  <c:v>-0.0282378811194131</c:v>
                </c:pt>
                <c:pt idx="275">
                  <c:v>0.00114017517426035</c:v>
                </c:pt>
                <c:pt idx="276">
                  <c:v>0.00707425439424836</c:v>
                </c:pt>
                <c:pt idx="277">
                  <c:v>0.0190424323463514</c:v>
                </c:pt>
                <c:pt idx="278">
                  <c:v>0.0105387188441861</c:v>
                </c:pt>
                <c:pt idx="279">
                  <c:v>-0.010878500666487</c:v>
                </c:pt>
                <c:pt idx="280">
                  <c:v>-0.00331552677439506</c:v>
                </c:pt>
                <c:pt idx="281">
                  <c:v>0.0205805481946317</c:v>
                </c:pt>
                <c:pt idx="282">
                  <c:v>-0.0171752744078568</c:v>
                </c:pt>
                <c:pt idx="283">
                  <c:v>0.00932387004779667</c:v>
                </c:pt>
                <c:pt idx="284">
                  <c:v>-0.00217294494373044</c:v>
                </c:pt>
                <c:pt idx="285">
                  <c:v>0.00710141304067524</c:v>
                </c:pt>
                <c:pt idx="286">
                  <c:v>0.0175274617973455</c:v>
                </c:pt>
                <c:pt idx="287">
                  <c:v>0.0016025243232265</c:v>
                </c:pt>
                <c:pt idx="288">
                  <c:v>-0.00631291751618912</c:v>
                </c:pt>
                <c:pt idx="289">
                  <c:v>0.00277329389622127</c:v>
                </c:pt>
                <c:pt idx="290">
                  <c:v>-0.02083516834689</c:v>
                </c:pt>
                <c:pt idx="291">
                  <c:v>0.0258685978106727</c:v>
                </c:pt>
                <c:pt idx="292">
                  <c:v>0.010049838454508</c:v>
                </c:pt>
                <c:pt idx="293">
                  <c:v>0.0103619696246522</c:v>
                </c:pt>
                <c:pt idx="294">
                  <c:v>-0.00479206937138266</c:v>
                </c:pt>
                <c:pt idx="295">
                  <c:v>0.0155110249582242</c:v>
                </c:pt>
                <c:pt idx="296">
                  <c:v>0.0139160111894991</c:v>
                </c:pt>
                <c:pt idx="297">
                  <c:v>0.000490978427579947</c:v>
                </c:pt>
                <c:pt idx="298">
                  <c:v>-0.00748493671847539</c:v>
                </c:pt>
                <c:pt idx="299">
                  <c:v>0.0079401181992631</c:v>
                </c:pt>
                <c:pt idx="300">
                  <c:v>0.00848858197608959</c:v>
                </c:pt>
                <c:pt idx="301">
                  <c:v>-0.0086205660838693</c:v>
                </c:pt>
                <c:pt idx="302">
                  <c:v>-0.0112553787526405</c:v>
                </c:pt>
                <c:pt idx="303">
                  <c:v>0.0233277993085095</c:v>
                </c:pt>
                <c:pt idx="304">
                  <c:v>0.00210206504837163</c:v>
                </c:pt>
                <c:pt idx="305">
                  <c:v>0.013219824484199</c:v>
                </c:pt>
                <c:pt idx="306">
                  <c:v>0.0052632266846393</c:v>
                </c:pt>
                <c:pt idx="307">
                  <c:v>-0.00175638810355261</c:v>
                </c:pt>
                <c:pt idx="308">
                  <c:v>-0.0147390602289496</c:v>
                </c:pt>
                <c:pt idx="309">
                  <c:v>-0.027585694352694</c:v>
                </c:pt>
                <c:pt idx="310">
                  <c:v>0.0241792050531515</c:v>
                </c:pt>
                <c:pt idx="311">
                  <c:v>-0.000136982945395325</c:v>
                </c:pt>
                <c:pt idx="312">
                  <c:v>0.00528198629027488</c:v>
                </c:pt>
                <c:pt idx="313">
                  <c:v>0.00196646334016259</c:v>
                </c:pt>
                <c:pt idx="314">
                  <c:v>0.0118508379433246</c:v>
                </c:pt>
                <c:pt idx="315">
                  <c:v>0.0146787905202184</c:v>
                </c:pt>
                <c:pt idx="316">
                  <c:v>-0.00244611946213769</c:v>
                </c:pt>
                <c:pt idx="317">
                  <c:v>0.00543420186421262</c:v>
                </c:pt>
                <c:pt idx="318">
                  <c:v>-0.0274088321967076</c:v>
                </c:pt>
                <c:pt idx="319">
                  <c:v>-0.012161573070812</c:v>
                </c:pt>
                <c:pt idx="320">
                  <c:v>-0.0208026698708209</c:v>
                </c:pt>
                <c:pt idx="321">
                  <c:v>-0.0187438385307058</c:v>
                </c:pt>
                <c:pt idx="322">
                  <c:v>0.0184866949599851</c:v>
                </c:pt>
                <c:pt idx="323">
                  <c:v>0.00669578824691452</c:v>
                </c:pt>
                <c:pt idx="324">
                  <c:v>-0.0393004895721212</c:v>
                </c:pt>
              </c:strCache>
            </c:strRef>
          </c:xVal>
          <c:yVal>
            <c:numRef>
              <c:f>[1]Regreesion!$R$42:$R$366</c:f>
              <c:numCache>
                <c:formatCode>General</c:formatCode>
                <c:ptCount val="325"/>
                <c:pt idx="0">
                  <c:v>2.4036055532823938E-2</c:v>
                </c:pt>
                <c:pt idx="1">
                  <c:v>9.4204673724268689E-3</c:v>
                </c:pt>
                <c:pt idx="2">
                  <c:v>-2.9473308476685662E-3</c:v>
                </c:pt>
                <c:pt idx="3">
                  <c:v>4.2471260028425134E-2</c:v>
                </c:pt>
                <c:pt idx="4">
                  <c:v>7.8487226570866757E-3</c:v>
                </c:pt>
                <c:pt idx="5">
                  <c:v>2.4990528539913286E-2</c:v>
                </c:pt>
                <c:pt idx="6">
                  <c:v>1.3889535806820228E-2</c:v>
                </c:pt>
                <c:pt idx="7">
                  <c:v>1.2213054401736747E-2</c:v>
                </c:pt>
                <c:pt idx="8">
                  <c:v>5.0383029805409207E-4</c:v>
                </c:pt>
                <c:pt idx="9">
                  <c:v>8.4501670922703422E-3</c:v>
                </c:pt>
                <c:pt idx="10">
                  <c:v>2.6315899783596738E-3</c:v>
                </c:pt>
                <c:pt idx="11">
                  <c:v>4.9623266269677429E-3</c:v>
                </c:pt>
                <c:pt idx="12">
                  <c:v>1.6760087431592029E-2</c:v>
                </c:pt>
                <c:pt idx="13">
                  <c:v>6.2262529071095956E-3</c:v>
                </c:pt>
                <c:pt idx="14">
                  <c:v>2.6165530486481701E-2</c:v>
                </c:pt>
                <c:pt idx="15">
                  <c:v>-3.4110553211415401E-3</c:v>
                </c:pt>
                <c:pt idx="16">
                  <c:v>5.9068448217576737E-4</c:v>
                </c:pt>
                <c:pt idx="17">
                  <c:v>2.1896663642953791E-2</c:v>
                </c:pt>
                <c:pt idx="18">
                  <c:v>1.9937911576170694E-2</c:v>
                </c:pt>
                <c:pt idx="19">
                  <c:v>-4.7204952535753013E-3</c:v>
                </c:pt>
                <c:pt idx="20">
                  <c:v>1.268583063159791E-2</c:v>
                </c:pt>
                <c:pt idx="21">
                  <c:v>2.2934199893259413E-2</c:v>
                </c:pt>
                <c:pt idx="22">
                  <c:v>2.0435139984428051E-2</c:v>
                </c:pt>
                <c:pt idx="23">
                  <c:v>1.7922221909134114E-3</c:v>
                </c:pt>
                <c:pt idx="24">
                  <c:v>2.6039526075045616E-2</c:v>
                </c:pt>
                <c:pt idx="25">
                  <c:v>-3.810000893313922E-3</c:v>
                </c:pt>
                <c:pt idx="26">
                  <c:v>5.3322871344188855E-3</c:v>
                </c:pt>
                <c:pt idx="27">
                  <c:v>1.9450957914728659E-2</c:v>
                </c:pt>
                <c:pt idx="28">
                  <c:v>8.5817328839182198E-4</c:v>
                </c:pt>
                <c:pt idx="29">
                  <c:v>-2.3402894962058211E-2</c:v>
                </c:pt>
                <c:pt idx="30">
                  <c:v>-1.9624307239688353E-2</c:v>
                </c:pt>
                <c:pt idx="31">
                  <c:v>2.5971623862829127E-2</c:v>
                </c:pt>
                <c:pt idx="32">
                  <c:v>2.1088687016220249E-2</c:v>
                </c:pt>
                <c:pt idx="33">
                  <c:v>1.7358456496094903E-2</c:v>
                </c:pt>
                <c:pt idx="34">
                  <c:v>9.8028236181152504E-3</c:v>
                </c:pt>
                <c:pt idx="35">
                  <c:v>1.4861872618002623E-2</c:v>
                </c:pt>
                <c:pt idx="36">
                  <c:v>2.6743158913386271E-3</c:v>
                </c:pt>
                <c:pt idx="37">
                  <c:v>-2.6646442024881575E-2</c:v>
                </c:pt>
                <c:pt idx="38">
                  <c:v>1.9470167502314638E-2</c:v>
                </c:pt>
                <c:pt idx="39">
                  <c:v>1.1616330347798191E-2</c:v>
                </c:pt>
                <c:pt idx="40">
                  <c:v>1.9060043528979921E-2</c:v>
                </c:pt>
                <c:pt idx="41">
                  <c:v>-6.2600668004521333E-3</c:v>
                </c:pt>
                <c:pt idx="42">
                  <c:v>1.3671072906317814E-2</c:v>
                </c:pt>
                <c:pt idx="43">
                  <c:v>2.2604231024993808E-2</c:v>
                </c:pt>
                <c:pt idx="44">
                  <c:v>-8.2943944570267533E-3</c:v>
                </c:pt>
                <c:pt idx="45">
                  <c:v>2.6635686558139526E-2</c:v>
                </c:pt>
                <c:pt idx="46">
                  <c:v>-1.6730711802645952E-2</c:v>
                </c:pt>
                <c:pt idx="47">
                  <c:v>9.8929751237443742E-3</c:v>
                </c:pt>
                <c:pt idx="48">
                  <c:v>1.6831670787358036E-2</c:v>
                </c:pt>
                <c:pt idx="49">
                  <c:v>5.5599815272333779E-3</c:v>
                </c:pt>
                <c:pt idx="50">
                  <c:v>-6.8748334041702913E-3</c:v>
                </c:pt>
                <c:pt idx="51">
                  <c:v>3.5513177926384983E-2</c:v>
                </c:pt>
                <c:pt idx="52">
                  <c:v>2.5400226241188567E-2</c:v>
                </c:pt>
                <c:pt idx="53">
                  <c:v>8.6943998945515164E-3</c:v>
                </c:pt>
                <c:pt idx="54">
                  <c:v>-6.2311586449405806E-3</c:v>
                </c:pt>
                <c:pt idx="55">
                  <c:v>5.5401695892435395E-3</c:v>
                </c:pt>
                <c:pt idx="56">
                  <c:v>2.1363196653871479E-2</c:v>
                </c:pt>
                <c:pt idx="57">
                  <c:v>9.6551955825116241E-3</c:v>
                </c:pt>
                <c:pt idx="58">
                  <c:v>-9.5394800995117227E-2</c:v>
                </c:pt>
                <c:pt idx="59">
                  <c:v>-2.5066378831781207E-2</c:v>
                </c:pt>
                <c:pt idx="60">
                  <c:v>-0.10959809591906888</c:v>
                </c:pt>
                <c:pt idx="61">
                  <c:v>-0.1334123527988077</c:v>
                </c:pt>
                <c:pt idx="62">
                  <c:v>1.0798961933414068E-2</c:v>
                </c:pt>
                <c:pt idx="63">
                  <c:v>5.4072411485990103E-2</c:v>
                </c:pt>
                <c:pt idx="64">
                  <c:v>7.1686206124701141E-2</c:v>
                </c:pt>
                <c:pt idx="65">
                  <c:v>2.4452477033636365E-2</c:v>
                </c:pt>
                <c:pt idx="66">
                  <c:v>-4.2527257903763896E-2</c:v>
                </c:pt>
                <c:pt idx="67">
                  <c:v>6.3175427102281799E-3</c:v>
                </c:pt>
                <c:pt idx="68">
                  <c:v>3.4069964237265493E-2</c:v>
                </c:pt>
                <c:pt idx="69">
                  <c:v>7.4623994917040739E-3</c:v>
                </c:pt>
                <c:pt idx="70">
                  <c:v>2.3408206280350861E-2</c:v>
                </c:pt>
                <c:pt idx="71">
                  <c:v>5.4807257586881444E-2</c:v>
                </c:pt>
                <c:pt idx="72">
                  <c:v>4.9517155920897525E-2</c:v>
                </c:pt>
                <c:pt idx="73">
                  <c:v>-2.1936223003319377E-2</c:v>
                </c:pt>
                <c:pt idx="74">
                  <c:v>2.1909665026385521E-2</c:v>
                </c:pt>
                <c:pt idx="75">
                  <c:v>-2.1369537841143486E-3</c:v>
                </c:pt>
                <c:pt idx="76">
                  <c:v>3.3828591664766219E-2</c:v>
                </c:pt>
                <c:pt idx="77">
                  <c:v>-1.9457927314030871E-2</c:v>
                </c:pt>
                <c:pt idx="78">
                  <c:v>2.5230794750802241E-2</c:v>
                </c:pt>
                <c:pt idx="79">
                  <c:v>3.0391523422259943E-3</c:v>
                </c:pt>
                <c:pt idx="80">
                  <c:v>-1.2171547043635775E-2</c:v>
                </c:pt>
                <c:pt idx="81">
                  <c:v>1.9267243977068867E-2</c:v>
                </c:pt>
                <c:pt idx="82">
                  <c:v>2.6290891441053225E-2</c:v>
                </c:pt>
                <c:pt idx="83">
                  <c:v>4.1524836233862699E-3</c:v>
                </c:pt>
                <c:pt idx="84">
                  <c:v>1.9517379327733527E-3</c:v>
                </c:pt>
                <c:pt idx="85">
                  <c:v>-1.6366426514164686E-2</c:v>
                </c:pt>
                <c:pt idx="86">
                  <c:v>-5.562441259179705E-3</c:v>
                </c:pt>
                <c:pt idx="87">
                  <c:v>5.9068337896157038E-3</c:v>
                </c:pt>
                <c:pt idx="88">
                  <c:v>2.3064848480788602E-2</c:v>
                </c:pt>
                <c:pt idx="89">
                  <c:v>-2.5998791861244923E-2</c:v>
                </c:pt>
                <c:pt idx="90">
                  <c:v>6.173926433652966E-2</c:v>
                </c:pt>
                <c:pt idx="91">
                  <c:v>1.772362682208712E-2</c:v>
                </c:pt>
                <c:pt idx="92">
                  <c:v>3.05827952124859E-3</c:v>
                </c:pt>
                <c:pt idx="93">
                  <c:v>-3.6432100260480417E-2</c:v>
                </c:pt>
                <c:pt idx="94">
                  <c:v>5.1793719644769448E-2</c:v>
                </c:pt>
                <c:pt idx="95">
                  <c:v>4.4308827348216777E-2</c:v>
                </c:pt>
                <c:pt idx="96">
                  <c:v>2.7321910579269477E-2</c:v>
                </c:pt>
                <c:pt idx="97">
                  <c:v>1.4909317900011772E-2</c:v>
                </c:pt>
                <c:pt idx="98">
                  <c:v>1.0199773379863396E-2</c:v>
                </c:pt>
                <c:pt idx="99">
                  <c:v>6.1041454815774308E-3</c:v>
                </c:pt>
                <c:pt idx="100">
                  <c:v>9.9792820108689992E-3</c:v>
                </c:pt>
                <c:pt idx="101">
                  <c:v>3.0995609656870957E-3</c:v>
                </c:pt>
                <c:pt idx="102">
                  <c:v>-6.2504902907846889E-3</c:v>
                </c:pt>
                <c:pt idx="103">
                  <c:v>3.2243993803135348E-2</c:v>
                </c:pt>
                <c:pt idx="104">
                  <c:v>-1.9073082796112906E-3</c:v>
                </c:pt>
                <c:pt idx="105">
                  <c:v>1.8138147418886953E-2</c:v>
                </c:pt>
                <c:pt idx="106">
                  <c:v>-2.5356489754519894E-2</c:v>
                </c:pt>
                <c:pt idx="107">
                  <c:v>4.2140884136729249E-2</c:v>
                </c:pt>
                <c:pt idx="108">
                  <c:v>-2.947856121026304E-4</c:v>
                </c:pt>
                <c:pt idx="109">
                  <c:v>5.8934534567564303E-3</c:v>
                </c:pt>
                <c:pt idx="110">
                  <c:v>-1.1337907885821013E-2</c:v>
                </c:pt>
                <c:pt idx="111">
                  <c:v>1.9230937652440869E-2</c:v>
                </c:pt>
                <c:pt idx="112">
                  <c:v>1.425631085210729E-2</c:v>
                </c:pt>
                <c:pt idx="113">
                  <c:v>-4.301693210412549E-3</c:v>
                </c:pt>
                <c:pt idx="114">
                  <c:v>2.3237047746685849E-2</c:v>
                </c:pt>
                <c:pt idx="115">
                  <c:v>5.7002747725621262E-3</c:v>
                </c:pt>
                <c:pt idx="116">
                  <c:v>3.0613559056598322E-2</c:v>
                </c:pt>
                <c:pt idx="117">
                  <c:v>1.5161410344917078E-2</c:v>
                </c:pt>
                <c:pt idx="118">
                  <c:v>4.3434209378984288E-3</c:v>
                </c:pt>
                <c:pt idx="119">
                  <c:v>-5.0754892929558409E-4</c:v>
                </c:pt>
                <c:pt idx="120">
                  <c:v>1.3114264367682683E-2</c:v>
                </c:pt>
                <c:pt idx="121">
                  <c:v>-5.5383099831812169E-4</c:v>
                </c:pt>
                <c:pt idx="122">
                  <c:v>7.9275239053603844E-3</c:v>
                </c:pt>
                <c:pt idx="123">
                  <c:v>2.744972925883004E-2</c:v>
                </c:pt>
                <c:pt idx="124">
                  <c:v>2.1876522582468444E-2</c:v>
                </c:pt>
                <c:pt idx="125">
                  <c:v>7.2700952346300427E-3</c:v>
                </c:pt>
                <c:pt idx="126">
                  <c:v>1.2924202918663957E-2</c:v>
                </c:pt>
                <c:pt idx="127">
                  <c:v>-3.9733570609203767E-3</c:v>
                </c:pt>
                <c:pt idx="128">
                  <c:v>6.3084058064104206E-3</c:v>
                </c:pt>
                <c:pt idx="129">
                  <c:v>-3.0378443687613301E-4</c:v>
                </c:pt>
                <c:pt idx="130">
                  <c:v>1.5636855489931319E-2</c:v>
                </c:pt>
                <c:pt idx="131">
                  <c:v>1.1399962091649164E-2</c:v>
                </c:pt>
                <c:pt idx="132">
                  <c:v>4.483014857355954E-3</c:v>
                </c:pt>
                <c:pt idx="133">
                  <c:v>2.5644176429026895E-2</c:v>
                </c:pt>
                <c:pt idx="134">
                  <c:v>1.9373603996354419E-2</c:v>
                </c:pt>
                <c:pt idx="135">
                  <c:v>-1.5252199422006884E-2</c:v>
                </c:pt>
                <c:pt idx="136">
                  <c:v>1.0596728196418673E-2</c:v>
                </c:pt>
                <c:pt idx="137">
                  <c:v>1.8176103079297783E-2</c:v>
                </c:pt>
                <c:pt idx="138">
                  <c:v>-7.6150244907646925E-3</c:v>
                </c:pt>
                <c:pt idx="139">
                  <c:v>4.5989187516902877E-3</c:v>
                </c:pt>
                <c:pt idx="140">
                  <c:v>-3.8073930776283908E-3</c:v>
                </c:pt>
                <c:pt idx="141">
                  <c:v>-1.7884344847015281E-2</c:v>
                </c:pt>
                <c:pt idx="142">
                  <c:v>2.4634423079600842E-2</c:v>
                </c:pt>
                <c:pt idx="143">
                  <c:v>1.0893106515815648E-2</c:v>
                </c:pt>
                <c:pt idx="144">
                  <c:v>1.2434106387284764E-2</c:v>
                </c:pt>
                <c:pt idx="145">
                  <c:v>-8.283019812888235E-3</c:v>
                </c:pt>
                <c:pt idx="146">
                  <c:v>2.5656633277838403E-2</c:v>
                </c:pt>
                <c:pt idx="147">
                  <c:v>4.85471051527522E-3</c:v>
                </c:pt>
                <c:pt idx="148">
                  <c:v>-7.9103440677179282E-5</c:v>
                </c:pt>
                <c:pt idx="149">
                  <c:v>-1.1956967060874941E-2</c:v>
                </c:pt>
                <c:pt idx="150">
                  <c:v>-4.8353074162605595E-4</c:v>
                </c:pt>
                <c:pt idx="151">
                  <c:v>2.1188949657916144E-2</c:v>
                </c:pt>
                <c:pt idx="152">
                  <c:v>-2.4120371256907561E-3</c:v>
                </c:pt>
                <c:pt idx="153">
                  <c:v>2.168796486972191E-2</c:v>
                </c:pt>
                <c:pt idx="154">
                  <c:v>9.4152519870409224E-3</c:v>
                </c:pt>
                <c:pt idx="155">
                  <c:v>6.0027280526556972E-3</c:v>
                </c:pt>
                <c:pt idx="156">
                  <c:v>-3.7301244009667126E-3</c:v>
                </c:pt>
                <c:pt idx="157">
                  <c:v>-2.6530900689284861E-2</c:v>
                </c:pt>
                <c:pt idx="158">
                  <c:v>-2.299371319814153E-2</c:v>
                </c:pt>
                <c:pt idx="159">
                  <c:v>2.4782835571947048E-2</c:v>
                </c:pt>
                <c:pt idx="160">
                  <c:v>1.923313586465443E-2</c:v>
                </c:pt>
                <c:pt idx="161">
                  <c:v>8.1793416308731659E-3</c:v>
                </c:pt>
                <c:pt idx="162">
                  <c:v>-1.7618887529642913E-2</c:v>
                </c:pt>
                <c:pt idx="163">
                  <c:v>2.5437504327918491E-2</c:v>
                </c:pt>
                <c:pt idx="164">
                  <c:v>1.0430030389879039E-3</c:v>
                </c:pt>
                <c:pt idx="165">
                  <c:v>3.9553646795581973E-2</c:v>
                </c:pt>
                <c:pt idx="166">
                  <c:v>2.1209444220227712E-2</c:v>
                </c:pt>
                <c:pt idx="167">
                  <c:v>1.7536452828197699E-2</c:v>
                </c:pt>
                <c:pt idx="168">
                  <c:v>2.5149139298048049E-3</c:v>
                </c:pt>
                <c:pt idx="169">
                  <c:v>1.1209819627996864E-2</c:v>
                </c:pt>
                <c:pt idx="170">
                  <c:v>-2.28808756382054E-3</c:v>
                </c:pt>
                <c:pt idx="171">
                  <c:v>-6.9696214918442152E-4</c:v>
                </c:pt>
                <c:pt idx="172">
                  <c:v>-2.7877244315592693E-2</c:v>
                </c:pt>
                <c:pt idx="173">
                  <c:v>-1.1331198063154123E-2</c:v>
                </c:pt>
                <c:pt idx="174">
                  <c:v>1.768966919902102E-2</c:v>
                </c:pt>
                <c:pt idx="175">
                  <c:v>1.0585586036298559E-2</c:v>
                </c:pt>
                <c:pt idx="176">
                  <c:v>1.3063077669573951E-2</c:v>
                </c:pt>
                <c:pt idx="177">
                  <c:v>-3.9998432230007194E-2</c:v>
                </c:pt>
                <c:pt idx="178">
                  <c:v>-6.5184008661288012E-2</c:v>
                </c:pt>
                <c:pt idx="179">
                  <c:v>2.1799716154666332E-2</c:v>
                </c:pt>
                <c:pt idx="180">
                  <c:v>5.5103538600328322E-5</c:v>
                </c:pt>
                <c:pt idx="181">
                  <c:v>2.7150258165067137E-2</c:v>
                </c:pt>
                <c:pt idx="182">
                  <c:v>-6.6869655154482826E-3</c:v>
                </c:pt>
                <c:pt idx="183">
                  <c:v>3.456918690494204E-2</c:v>
                </c:pt>
                <c:pt idx="184">
                  <c:v>2.8713766887385903E-2</c:v>
                </c:pt>
                <c:pt idx="185">
                  <c:v>1.5484118478440466E-2</c:v>
                </c:pt>
                <c:pt idx="186">
                  <c:v>8.4843532965261891E-3</c:v>
                </c:pt>
                <c:pt idx="187">
                  <c:v>2.0273845386791695E-2</c:v>
                </c:pt>
                <c:pt idx="188">
                  <c:v>4.9813798323858289E-3</c:v>
                </c:pt>
                <c:pt idx="189">
                  <c:v>-2.4005852989153101E-2</c:v>
                </c:pt>
                <c:pt idx="190">
                  <c:v>2.1247196959529709E-2</c:v>
                </c:pt>
                <c:pt idx="191">
                  <c:v>-1.8136471814032024E-2</c:v>
                </c:pt>
                <c:pt idx="192">
                  <c:v>-2.0850899724623E-2</c:v>
                </c:pt>
                <c:pt idx="193">
                  <c:v>-1.1384336147539706E-2</c:v>
                </c:pt>
                <c:pt idx="194">
                  <c:v>5.2055143014640211E-2</c:v>
                </c:pt>
                <c:pt idx="195">
                  <c:v>4.2345702463226749E-3</c:v>
                </c:pt>
                <c:pt idx="196">
                  <c:v>-8.1418404234394059E-3</c:v>
                </c:pt>
                <c:pt idx="197">
                  <c:v>2.2267848128658715E-2</c:v>
                </c:pt>
                <c:pt idx="198">
                  <c:v>2.1431924434893626E-2</c:v>
                </c:pt>
                <c:pt idx="199">
                  <c:v>4.8041810563023146E-2</c:v>
                </c:pt>
                <c:pt idx="200">
                  <c:v>7.3274189933797002E-3</c:v>
                </c:pt>
                <c:pt idx="201">
                  <c:v>2.0834329078947618E-2</c:v>
                </c:pt>
                <c:pt idx="202">
                  <c:v>1.1032432201490984E-2</c:v>
                </c:pt>
                <c:pt idx="203">
                  <c:v>-7.8346628897007619E-3</c:v>
                </c:pt>
                <c:pt idx="204">
                  <c:v>-4.7494426921465861E-3</c:v>
                </c:pt>
                <c:pt idx="205">
                  <c:v>-1.2666789496050086E-3</c:v>
                </c:pt>
                <c:pt idx="206">
                  <c:v>-3.9854231164559075E-3</c:v>
                </c:pt>
                <c:pt idx="207">
                  <c:v>1.5409676616464063E-2</c:v>
                </c:pt>
                <c:pt idx="208">
                  <c:v>3.735110708805274E-2</c:v>
                </c:pt>
                <c:pt idx="209">
                  <c:v>2.2676429187627523E-2</c:v>
                </c:pt>
                <c:pt idx="210">
                  <c:v>1.0659471033700905E-2</c:v>
                </c:pt>
                <c:pt idx="211">
                  <c:v>1.3823073345469256E-2</c:v>
                </c:pt>
                <c:pt idx="212">
                  <c:v>-1.2637292992381718E-2</c:v>
                </c:pt>
                <c:pt idx="213">
                  <c:v>-7.0258694537915205E-3</c:v>
                </c:pt>
                <c:pt idx="214">
                  <c:v>3.3490559105384945E-3</c:v>
                </c:pt>
                <c:pt idx="215">
                  <c:v>5.5412655432868505E-3</c:v>
                </c:pt>
                <c:pt idx="216">
                  <c:v>-4.8462965753410369E-3</c:v>
                </c:pt>
                <c:pt idx="217">
                  <c:v>-1.7163186066463089E-2</c:v>
                </c:pt>
                <c:pt idx="218">
                  <c:v>-1.0908739620640656E-3</c:v>
                </c:pt>
                <c:pt idx="219">
                  <c:v>3.8926124678998912E-2</c:v>
                </c:pt>
                <c:pt idx="220">
                  <c:v>1.0851231077866426E-2</c:v>
                </c:pt>
                <c:pt idx="221">
                  <c:v>2.5696104384907763E-2</c:v>
                </c:pt>
                <c:pt idx="222">
                  <c:v>4.0907233282942625E-4</c:v>
                </c:pt>
                <c:pt idx="223">
                  <c:v>1.6607396317285584E-3</c:v>
                </c:pt>
                <c:pt idx="224">
                  <c:v>-8.1978825333614089E-3</c:v>
                </c:pt>
                <c:pt idx="225">
                  <c:v>1.3816331675278775E-2</c:v>
                </c:pt>
                <c:pt idx="226">
                  <c:v>1.077960988866344E-2</c:v>
                </c:pt>
                <c:pt idx="227">
                  <c:v>-1.310779755884762E-2</c:v>
                </c:pt>
                <c:pt idx="228">
                  <c:v>3.3140208059966895E-3</c:v>
                </c:pt>
                <c:pt idx="229">
                  <c:v>1.4232202933902151E-3</c:v>
                </c:pt>
                <c:pt idx="230">
                  <c:v>2.4037124314921908E-2</c:v>
                </c:pt>
                <c:pt idx="231">
                  <c:v>-1.7455852088674388E-2</c:v>
                </c:pt>
                <c:pt idx="232">
                  <c:v>2.1987288672623936E-2</c:v>
                </c:pt>
                <c:pt idx="233">
                  <c:v>-1.8945211252018035E-2</c:v>
                </c:pt>
                <c:pt idx="234">
                  <c:v>4.4002681134828539E-2</c:v>
                </c:pt>
                <c:pt idx="235">
                  <c:v>6.374438357009707E-3</c:v>
                </c:pt>
                <c:pt idx="236">
                  <c:v>1.7740568780013725E-2</c:v>
                </c:pt>
                <c:pt idx="237">
                  <c:v>-6.4612177461999057E-3</c:v>
                </c:pt>
                <c:pt idx="238">
                  <c:v>7.5477744273444594E-3</c:v>
                </c:pt>
                <c:pt idx="239">
                  <c:v>-1.9369069234556162E-2</c:v>
                </c:pt>
                <c:pt idx="240">
                  <c:v>6.1680299937060586E-4</c:v>
                </c:pt>
                <c:pt idx="241">
                  <c:v>3.4508572000089832E-2</c:v>
                </c:pt>
                <c:pt idx="242">
                  <c:v>-5.5994448860782354E-3</c:v>
                </c:pt>
                <c:pt idx="243">
                  <c:v>2.4538157966449252E-2</c:v>
                </c:pt>
                <c:pt idx="244">
                  <c:v>-2.5687272381495867E-2</c:v>
                </c:pt>
                <c:pt idx="245">
                  <c:v>1.9075029727639151E-3</c:v>
                </c:pt>
                <c:pt idx="246">
                  <c:v>-9.4354693580975448E-3</c:v>
                </c:pt>
                <c:pt idx="247">
                  <c:v>1.9578133374927476E-2</c:v>
                </c:pt>
                <c:pt idx="248">
                  <c:v>-1.7866475562748813E-2</c:v>
                </c:pt>
                <c:pt idx="249">
                  <c:v>-6.4337845179277073E-3</c:v>
                </c:pt>
                <c:pt idx="250">
                  <c:v>2.8259373053720879E-2</c:v>
                </c:pt>
                <c:pt idx="251">
                  <c:v>6.3990835077492739E-3</c:v>
                </c:pt>
                <c:pt idx="252">
                  <c:v>2.025280711364735E-2</c:v>
                </c:pt>
                <c:pt idx="253">
                  <c:v>3.5733398572926345E-3</c:v>
                </c:pt>
                <c:pt idx="254">
                  <c:v>9.927805236551606E-3</c:v>
                </c:pt>
                <c:pt idx="255">
                  <c:v>2.3055092896208954E-2</c:v>
                </c:pt>
                <c:pt idx="256">
                  <c:v>4.1312948035552029E-2</c:v>
                </c:pt>
                <c:pt idx="257">
                  <c:v>1.3114418146476082E-2</c:v>
                </c:pt>
                <c:pt idx="258">
                  <c:v>1.8771939587709233E-2</c:v>
                </c:pt>
                <c:pt idx="259">
                  <c:v>-9.4783238690856648E-3</c:v>
                </c:pt>
                <c:pt idx="260">
                  <c:v>6.0755076372792267E-3</c:v>
                </c:pt>
                <c:pt idx="261">
                  <c:v>-6.1618321210413756E-3</c:v>
                </c:pt>
                <c:pt idx="262">
                  <c:v>2.3889776756663969E-2</c:v>
                </c:pt>
                <c:pt idx="263">
                  <c:v>2.4964993591692838E-2</c:v>
                </c:pt>
                <c:pt idx="264">
                  <c:v>-2.7637776409530131E-3</c:v>
                </c:pt>
                <c:pt idx="265">
                  <c:v>6.815968061413975E-3</c:v>
                </c:pt>
                <c:pt idx="266">
                  <c:v>6.7323779360546742E-3</c:v>
                </c:pt>
                <c:pt idx="267">
                  <c:v>2.3039460527200004E-2</c:v>
                </c:pt>
                <c:pt idx="268">
                  <c:v>2.6372977587899006E-2</c:v>
                </c:pt>
                <c:pt idx="269">
                  <c:v>-1.8196389489998584E-2</c:v>
                </c:pt>
                <c:pt idx="270">
                  <c:v>1.8806904361230614E-2</c:v>
                </c:pt>
                <c:pt idx="271">
                  <c:v>2.2183320790148946E-2</c:v>
                </c:pt>
                <c:pt idx="272">
                  <c:v>-1.1802466757466502E-2</c:v>
                </c:pt>
                <c:pt idx="273">
                  <c:v>6.7642899839595733E-3</c:v>
                </c:pt>
                <c:pt idx="274">
                  <c:v>-2.5203550607099716E-2</c:v>
                </c:pt>
                <c:pt idx="275">
                  <c:v>5.9394169689768184E-3</c:v>
                </c:pt>
                <c:pt idx="276">
                  <c:v>1.2229990957078067E-2</c:v>
                </c:pt>
                <c:pt idx="277">
                  <c:v>2.4917167201182595E-2</c:v>
                </c:pt>
                <c:pt idx="278">
                  <c:v>1.5902586004018469E-2</c:v>
                </c:pt>
                <c:pt idx="279">
                  <c:v>-6.8012908666322414E-3</c:v>
                </c:pt>
                <c:pt idx="280">
                  <c:v>1.2160350022290926E-3</c:v>
                </c:pt>
                <c:pt idx="281">
                  <c:v>2.6547686644416146E-2</c:v>
                </c:pt>
                <c:pt idx="282">
                  <c:v>-1.347634855258273E-2</c:v>
                </c:pt>
                <c:pt idx="283">
                  <c:v>1.461475415096495E-2</c:v>
                </c:pt>
                <c:pt idx="284">
                  <c:v>2.4272583912000462E-3</c:v>
                </c:pt>
                <c:pt idx="285">
                  <c:v>1.2258781181884898E-2</c:v>
                </c:pt>
                <c:pt idx="286">
                  <c:v>2.3311183530419451E-2</c:v>
                </c:pt>
                <c:pt idx="287">
                  <c:v>6.4295421294415728E-3</c:v>
                </c:pt>
                <c:pt idx="288">
                  <c:v>-1.9614264932282122E-3</c:v>
                </c:pt>
                <c:pt idx="289">
                  <c:v>7.6706466629190076E-3</c:v>
                </c:pt>
                <c:pt idx="290">
                  <c:v>-1.7356113678491894E-2</c:v>
                </c:pt>
                <c:pt idx="291">
                  <c:v>3.2153420260241317E-2</c:v>
                </c:pt>
                <c:pt idx="292">
                  <c:v>1.5384335716384458E-2</c:v>
                </c:pt>
                <c:pt idx="293">
                  <c:v>1.5715218427415821E-2</c:v>
                </c:pt>
                <c:pt idx="294">
                  <c:v>-3.4921212518495681E-4</c:v>
                </c:pt>
                <c:pt idx="295">
                  <c:v>2.1173607563098371E-2</c:v>
                </c:pt>
                <c:pt idx="296">
                  <c:v>1.9482772009301118E-2</c:v>
                </c:pt>
                <c:pt idx="297">
                  <c:v>5.2512191852209164E-3</c:v>
                </c:pt>
                <c:pt idx="298">
                  <c:v>-3.2038557285211083E-3</c:v>
                </c:pt>
                <c:pt idx="299">
                  <c:v>1.3147872253761385E-2</c:v>
                </c:pt>
                <c:pt idx="300">
                  <c:v>1.3729285450319192E-2</c:v>
                </c:pt>
                <c:pt idx="301">
                  <c:v>-4.4077089770601947E-3</c:v>
                </c:pt>
                <c:pt idx="302">
                  <c:v>-7.2008102187596911E-3</c:v>
                </c:pt>
                <c:pt idx="303">
                  <c:v>2.9459981164774177E-2</c:v>
                </c:pt>
                <c:pt idx="304">
                  <c:v>6.9590931811044027E-3</c:v>
                </c:pt>
                <c:pt idx="305">
                  <c:v>1.8744761305892976E-2</c:v>
                </c:pt>
                <c:pt idx="306">
                  <c:v>1.0310164244380363E-2</c:v>
                </c:pt>
                <c:pt idx="307">
                  <c:v>2.8688402316584538E-3</c:v>
                </c:pt>
                <c:pt idx="308">
                  <c:v>-1.0893776770989886E-2</c:v>
                </c:pt>
                <c:pt idx="309">
                  <c:v>-2.4512183175352628E-2</c:v>
                </c:pt>
                <c:pt idx="310">
                  <c:v>3.0362535821025632E-2</c:v>
                </c:pt>
                <c:pt idx="311">
                  <c:v>4.5855325079913909E-3</c:v>
                </c:pt>
                <c:pt idx="312">
                  <c:v>1.0330050849001467E-2</c:v>
                </c:pt>
                <c:pt idx="313">
                  <c:v>6.8153450869555092E-3</c:v>
                </c:pt>
                <c:pt idx="314">
                  <c:v>1.7293531754545267E-2</c:v>
                </c:pt>
                <c:pt idx="315">
                  <c:v>2.0291375945750301E-2</c:v>
                </c:pt>
                <c:pt idx="316">
                  <c:v>2.1376726853138688E-3</c:v>
                </c:pt>
                <c:pt idx="317">
                  <c:v>1.0491410900746545E-2</c:v>
                </c:pt>
                <c:pt idx="318">
                  <c:v>-2.4324695877545814E-2</c:v>
                </c:pt>
                <c:pt idx="319">
                  <c:v>-8.1614449178809487E-3</c:v>
                </c:pt>
                <c:pt idx="320">
                  <c:v>-1.7321662829314702E-2</c:v>
                </c:pt>
                <c:pt idx="321">
                  <c:v>-1.5139145475924569E-2</c:v>
                </c:pt>
                <c:pt idx="322">
                  <c:v>2.4328043426913519E-2</c:v>
                </c:pt>
                <c:pt idx="323">
                  <c:v>1.1828788139667767E-2</c:v>
                </c:pt>
                <c:pt idx="324">
                  <c:v>-3.6930754507369747E-2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3A-4215-950D-960A335B7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45567"/>
        <c:axId val="182401615"/>
      </c:scatterChart>
      <c:valAx>
        <c:axId val="6854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 b="1" i="0" u="none" strike="noStrike" baseline="0">
                    <a:solidFill>
                      <a:srgbClr val="FF0000"/>
                    </a:solidFill>
                  </a:rPr>
                  <a:t>ASX200 Weekly Return</a:t>
                </a:r>
                <a:endParaRPr lang="en-AU" sz="1100" b="1">
                  <a:solidFill>
                    <a:srgbClr val="FF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0560276663530265"/>
              <c:y val="0.703907011623547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01615"/>
        <c:crosses val="autoZero"/>
        <c:crossBetween val="midCat"/>
      </c:valAx>
      <c:valAx>
        <c:axId val="18240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 b="1" i="0" u="none" strike="noStrike" baseline="0">
                    <a:solidFill>
                      <a:schemeClr val="accent1"/>
                    </a:solidFill>
                  </a:rPr>
                  <a:t>JB Hi-Fi Weekly Return</a:t>
                </a:r>
                <a:endParaRPr lang="en-AU" sz="1100" b="1">
                  <a:solidFill>
                    <a:schemeClr val="accent1"/>
                  </a:solidFill>
                </a:endParaRPr>
              </a:p>
            </c:rich>
          </c:tx>
          <c:layout>
            <c:manualLayout>
              <c:xMode val="edge"/>
              <c:yMode val="edge"/>
              <c:x val="8.385744234800839E-3"/>
              <c:y val="0.1122495894909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5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>
      <a:outerShdw blurRad="50800" dist="38100" dir="8100000" algn="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 i="1">
                <a:solidFill>
                  <a:schemeClr val="accent2">
                    <a:lumMod val="60000"/>
                    <a:lumOff val="40000"/>
                  </a:schemeClr>
                </a:solidFill>
              </a:rPr>
              <a:t>Residual Plot</a:t>
            </a:r>
          </a:p>
        </c:rich>
      </c:tx>
      <c:layout>
        <c:manualLayout>
          <c:xMode val="edge"/>
          <c:yMode val="edge"/>
          <c:x val="0.4480485564304462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[1]Regreesion!$R$42:$R$366</c:f>
              <c:strCache>
                <c:ptCount val="325"/>
                <c:pt idx="0">
                  <c:v>0.0240360555328239</c:v>
                </c:pt>
                <c:pt idx="1">
                  <c:v>0.00942046737242687</c:v>
                </c:pt>
                <c:pt idx="2">
                  <c:v>-0.00294733084766857</c:v>
                </c:pt>
                <c:pt idx="3">
                  <c:v>0.0424712600284251</c:v>
                </c:pt>
                <c:pt idx="4">
                  <c:v>0.00784872265708668</c:v>
                </c:pt>
                <c:pt idx="5">
                  <c:v>0.0249905285399133</c:v>
                </c:pt>
                <c:pt idx="6">
                  <c:v>0.0138895358068202</c:v>
                </c:pt>
                <c:pt idx="7">
                  <c:v>0.0122130544017367</c:v>
                </c:pt>
                <c:pt idx="8">
                  <c:v>0.000503830298054092</c:v>
                </c:pt>
                <c:pt idx="9">
                  <c:v>0.00845016709227034</c:v>
                </c:pt>
                <c:pt idx="10">
                  <c:v>0.00263158997835967</c:v>
                </c:pt>
                <c:pt idx="11">
                  <c:v>0.00496232662696774</c:v>
                </c:pt>
                <c:pt idx="12">
                  <c:v>0.016760087431592</c:v>
                </c:pt>
                <c:pt idx="13">
                  <c:v>0.0062262529071096</c:v>
                </c:pt>
                <c:pt idx="14">
                  <c:v>0.0261655304864817</c:v>
                </c:pt>
                <c:pt idx="15">
                  <c:v>-0.00341105532114154</c:v>
                </c:pt>
                <c:pt idx="16">
                  <c:v>0.000590684482175767</c:v>
                </c:pt>
                <c:pt idx="17">
                  <c:v>0.0218966636429538</c:v>
                </c:pt>
                <c:pt idx="18">
                  <c:v>0.0199379115761707</c:v>
                </c:pt>
                <c:pt idx="19">
                  <c:v>-0.0047204952535753</c:v>
                </c:pt>
                <c:pt idx="20">
                  <c:v>0.0126858306315979</c:v>
                </c:pt>
                <c:pt idx="21">
                  <c:v>0.0229341998932594</c:v>
                </c:pt>
                <c:pt idx="22">
                  <c:v>0.0204351399844281</c:v>
                </c:pt>
                <c:pt idx="23">
                  <c:v>0.00179222219091341</c:v>
                </c:pt>
                <c:pt idx="24">
                  <c:v>0.0260395260750456</c:v>
                </c:pt>
                <c:pt idx="25">
                  <c:v>-0.00381000089331392</c:v>
                </c:pt>
                <c:pt idx="26">
                  <c:v>0.00533228713441889</c:v>
                </c:pt>
                <c:pt idx="27">
                  <c:v>0.0194509579147287</c:v>
                </c:pt>
                <c:pt idx="28">
                  <c:v>0.000858173288391822</c:v>
                </c:pt>
                <c:pt idx="29">
                  <c:v>-0.0234028949620582</c:v>
                </c:pt>
                <c:pt idx="30">
                  <c:v>-0.0196243072396884</c:v>
                </c:pt>
                <c:pt idx="31">
                  <c:v>0.0259716238628291</c:v>
                </c:pt>
                <c:pt idx="32">
                  <c:v>0.0210886870162202</c:v>
                </c:pt>
                <c:pt idx="33">
                  <c:v>0.0173584564960949</c:v>
                </c:pt>
                <c:pt idx="34">
                  <c:v>0.00980282361811525</c:v>
                </c:pt>
                <c:pt idx="35">
                  <c:v>0.0148618726180026</c:v>
                </c:pt>
                <c:pt idx="36">
                  <c:v>0.00267431589133863</c:v>
                </c:pt>
                <c:pt idx="37">
                  <c:v>-0.0266464420248816</c:v>
                </c:pt>
                <c:pt idx="38">
                  <c:v>0.0194701675023146</c:v>
                </c:pt>
                <c:pt idx="39">
                  <c:v>0.0116163303477982</c:v>
                </c:pt>
                <c:pt idx="40">
                  <c:v>0.0190600435289799</c:v>
                </c:pt>
                <c:pt idx="41">
                  <c:v>-0.00626006680045213</c:v>
                </c:pt>
                <c:pt idx="42">
                  <c:v>0.0136710729063178</c:v>
                </c:pt>
                <c:pt idx="43">
                  <c:v>0.0226042310249938</c:v>
                </c:pt>
                <c:pt idx="44">
                  <c:v>-0.00829439445702675</c:v>
                </c:pt>
                <c:pt idx="45">
                  <c:v>0.0266356865581395</c:v>
                </c:pt>
                <c:pt idx="46">
                  <c:v>-0.016730711802646</c:v>
                </c:pt>
                <c:pt idx="47">
                  <c:v>0.00989297512374437</c:v>
                </c:pt>
                <c:pt idx="48">
                  <c:v>0.016831670787358</c:v>
                </c:pt>
                <c:pt idx="49">
                  <c:v>0.00555998152723338</c:v>
                </c:pt>
                <c:pt idx="50">
                  <c:v>-0.00687483340417029</c:v>
                </c:pt>
                <c:pt idx="51">
                  <c:v>0.035513177926385</c:v>
                </c:pt>
                <c:pt idx="52">
                  <c:v>0.0254002262411886</c:v>
                </c:pt>
                <c:pt idx="53">
                  <c:v>0.00869439989455152</c:v>
                </c:pt>
                <c:pt idx="54">
                  <c:v>-0.00623115864494058</c:v>
                </c:pt>
                <c:pt idx="55">
                  <c:v>0.00554016958924354</c:v>
                </c:pt>
                <c:pt idx="56">
                  <c:v>0.0213631966538715</c:v>
                </c:pt>
                <c:pt idx="57">
                  <c:v>0.00965519558251162</c:v>
                </c:pt>
                <c:pt idx="58">
                  <c:v>-0.0953948009951172</c:v>
                </c:pt>
                <c:pt idx="59">
                  <c:v>-0.0250663788317812</c:v>
                </c:pt>
                <c:pt idx="60">
                  <c:v>-0.109598095919069</c:v>
                </c:pt>
                <c:pt idx="61">
                  <c:v>-0.133412352798808</c:v>
                </c:pt>
                <c:pt idx="62">
                  <c:v>0.0107989619334141</c:v>
                </c:pt>
                <c:pt idx="63">
                  <c:v>0.0540724114859901</c:v>
                </c:pt>
                <c:pt idx="64">
                  <c:v>0.0716862061247011</c:v>
                </c:pt>
                <c:pt idx="65">
                  <c:v>0.0244524770336364</c:v>
                </c:pt>
                <c:pt idx="66">
                  <c:v>-0.0425272579037639</c:v>
                </c:pt>
                <c:pt idx="67">
                  <c:v>0.00631754271022818</c:v>
                </c:pt>
                <c:pt idx="68">
                  <c:v>0.0340699642372655</c:v>
                </c:pt>
                <c:pt idx="69">
                  <c:v>0.00746239949170407</c:v>
                </c:pt>
                <c:pt idx="70">
                  <c:v>0.0234082062803509</c:v>
                </c:pt>
                <c:pt idx="71">
                  <c:v>0.0548072575868814</c:v>
                </c:pt>
                <c:pt idx="72">
                  <c:v>0.0495171559208975</c:v>
                </c:pt>
                <c:pt idx="73">
                  <c:v>-0.0219362230033194</c:v>
                </c:pt>
                <c:pt idx="74">
                  <c:v>0.0219096650263855</c:v>
                </c:pt>
                <c:pt idx="75">
                  <c:v>-0.00213695378411435</c:v>
                </c:pt>
                <c:pt idx="76">
                  <c:v>0.0338285916647662</c:v>
                </c:pt>
                <c:pt idx="77">
                  <c:v>-0.0194579273140309</c:v>
                </c:pt>
                <c:pt idx="78">
                  <c:v>0.0252307947508022</c:v>
                </c:pt>
                <c:pt idx="79">
                  <c:v>0.00303915234222599</c:v>
                </c:pt>
                <c:pt idx="80">
                  <c:v>-0.0121715470436358</c:v>
                </c:pt>
                <c:pt idx="81">
                  <c:v>0.0192672439770689</c:v>
                </c:pt>
                <c:pt idx="82">
                  <c:v>0.0262908914410532</c:v>
                </c:pt>
                <c:pt idx="83">
                  <c:v>0.00415248362338627</c:v>
                </c:pt>
                <c:pt idx="84">
                  <c:v>0.00195173793277335</c:v>
                </c:pt>
                <c:pt idx="85">
                  <c:v>-0.0163664265141647</c:v>
                </c:pt>
                <c:pt idx="86">
                  <c:v>-0.00556244125917971</c:v>
                </c:pt>
                <c:pt idx="87">
                  <c:v>0.0059068337896157</c:v>
                </c:pt>
                <c:pt idx="88">
                  <c:v>0.0230648484807886</c:v>
                </c:pt>
                <c:pt idx="89">
                  <c:v>-0.0259987918612449</c:v>
                </c:pt>
                <c:pt idx="90">
                  <c:v>0.0617392643365297</c:v>
                </c:pt>
                <c:pt idx="91">
                  <c:v>0.0177236268220871</c:v>
                </c:pt>
                <c:pt idx="92">
                  <c:v>0.00305827952124859</c:v>
                </c:pt>
                <c:pt idx="93">
                  <c:v>-0.0364321002604804</c:v>
                </c:pt>
                <c:pt idx="94">
                  <c:v>0.0517937196447694</c:v>
                </c:pt>
                <c:pt idx="95">
                  <c:v>0.0443088273482168</c:v>
                </c:pt>
                <c:pt idx="96">
                  <c:v>0.0273219105792695</c:v>
                </c:pt>
                <c:pt idx="97">
                  <c:v>0.0149093179000118</c:v>
                </c:pt>
                <c:pt idx="98">
                  <c:v>0.0101997733798634</c:v>
                </c:pt>
                <c:pt idx="99">
                  <c:v>0.00610414548157743</c:v>
                </c:pt>
                <c:pt idx="100">
                  <c:v>0.009979282010869</c:v>
                </c:pt>
                <c:pt idx="101">
                  <c:v>0.0030995609656871</c:v>
                </c:pt>
                <c:pt idx="102">
                  <c:v>-0.00625049029078469</c:v>
                </c:pt>
                <c:pt idx="103">
                  <c:v>0.0322439938031353</c:v>
                </c:pt>
                <c:pt idx="104">
                  <c:v>-0.00190730827961129</c:v>
                </c:pt>
                <c:pt idx="105">
                  <c:v>0.018138147418887</c:v>
                </c:pt>
                <c:pt idx="106">
                  <c:v>-0.0253564897545199</c:v>
                </c:pt>
                <c:pt idx="107">
                  <c:v>0.0421408841367292</c:v>
                </c:pt>
                <c:pt idx="108">
                  <c:v>-0.00029478561210263</c:v>
                </c:pt>
                <c:pt idx="109">
                  <c:v>0.00589345345675643</c:v>
                </c:pt>
                <c:pt idx="110">
                  <c:v>-0.011337907885821</c:v>
                </c:pt>
                <c:pt idx="111">
                  <c:v>0.0192309376524409</c:v>
                </c:pt>
                <c:pt idx="112">
                  <c:v>0.0142563108521073</c:v>
                </c:pt>
                <c:pt idx="113">
                  <c:v>-0.00430169321041255</c:v>
                </c:pt>
                <c:pt idx="114">
                  <c:v>0.0232370477466858</c:v>
                </c:pt>
                <c:pt idx="115">
                  <c:v>0.00570027477256213</c:v>
                </c:pt>
                <c:pt idx="116">
                  <c:v>0.0306135590565983</c:v>
                </c:pt>
                <c:pt idx="117">
                  <c:v>0.0151614103449171</c:v>
                </c:pt>
                <c:pt idx="118">
                  <c:v>0.00434342093789843</c:v>
                </c:pt>
                <c:pt idx="119">
                  <c:v>-0.000507548929295584</c:v>
                </c:pt>
                <c:pt idx="120">
                  <c:v>0.0131142643676827</c:v>
                </c:pt>
                <c:pt idx="121">
                  <c:v>-0.000553830998318122</c:v>
                </c:pt>
                <c:pt idx="122">
                  <c:v>0.00792752390536038</c:v>
                </c:pt>
                <c:pt idx="123">
                  <c:v>0.02744972925883</c:v>
                </c:pt>
                <c:pt idx="124">
                  <c:v>0.0218765225824684</c:v>
                </c:pt>
                <c:pt idx="125">
                  <c:v>0.00727009523463004</c:v>
                </c:pt>
                <c:pt idx="126">
                  <c:v>0.012924202918664</c:v>
                </c:pt>
                <c:pt idx="127">
                  <c:v>-0.00397335706092038</c:v>
                </c:pt>
                <c:pt idx="128">
                  <c:v>0.00630840580641042</c:v>
                </c:pt>
                <c:pt idx="129">
                  <c:v>-0.000303784436876133</c:v>
                </c:pt>
                <c:pt idx="130">
                  <c:v>0.0156368554899313</c:v>
                </c:pt>
                <c:pt idx="131">
                  <c:v>0.0113999620916492</c:v>
                </c:pt>
                <c:pt idx="132">
                  <c:v>0.00448301485735595</c:v>
                </c:pt>
                <c:pt idx="133">
                  <c:v>0.0256441764290269</c:v>
                </c:pt>
                <c:pt idx="134">
                  <c:v>0.0193736039963544</c:v>
                </c:pt>
                <c:pt idx="135">
                  <c:v>-0.0152521994220069</c:v>
                </c:pt>
                <c:pt idx="136">
                  <c:v>0.0105967281964187</c:v>
                </c:pt>
                <c:pt idx="137">
                  <c:v>0.0181761030792978</c:v>
                </c:pt>
                <c:pt idx="138">
                  <c:v>-0.00761502449076469</c:v>
                </c:pt>
                <c:pt idx="139">
                  <c:v>0.00459891875169029</c:v>
                </c:pt>
                <c:pt idx="140">
                  <c:v>-0.00380739307762839</c:v>
                </c:pt>
                <c:pt idx="141">
                  <c:v>-0.0178843448470153</c:v>
                </c:pt>
                <c:pt idx="142">
                  <c:v>0.0246344230796008</c:v>
                </c:pt>
                <c:pt idx="143">
                  <c:v>0.0108931065158156</c:v>
                </c:pt>
                <c:pt idx="144">
                  <c:v>0.0124341063872848</c:v>
                </c:pt>
                <c:pt idx="145">
                  <c:v>-0.00828301981288823</c:v>
                </c:pt>
                <c:pt idx="146">
                  <c:v>0.0256566332778384</c:v>
                </c:pt>
                <c:pt idx="147">
                  <c:v>0.00485471051527522</c:v>
                </c:pt>
                <c:pt idx="148">
                  <c:v>-7.91034406771793E-05</c:v>
                </c:pt>
                <c:pt idx="149">
                  <c:v>-0.0119569670608749</c:v>
                </c:pt>
                <c:pt idx="150">
                  <c:v>-0.000483530741626056</c:v>
                </c:pt>
                <c:pt idx="151">
                  <c:v>0.0211889496579161</c:v>
                </c:pt>
                <c:pt idx="152">
                  <c:v>-0.00241203712569076</c:v>
                </c:pt>
                <c:pt idx="153">
                  <c:v>0.0216879648697219</c:v>
                </c:pt>
                <c:pt idx="154">
                  <c:v>0.00941525198704092</c:v>
                </c:pt>
                <c:pt idx="155">
                  <c:v>0.0060027280526557</c:v>
                </c:pt>
                <c:pt idx="156">
                  <c:v>-0.00373012440096671</c:v>
                </c:pt>
                <c:pt idx="157">
                  <c:v>-0.0265309006892849</c:v>
                </c:pt>
                <c:pt idx="158">
                  <c:v>-0.0229937131981415</c:v>
                </c:pt>
                <c:pt idx="159">
                  <c:v>0.024782835571947</c:v>
                </c:pt>
                <c:pt idx="160">
                  <c:v>0.0192331358646544</c:v>
                </c:pt>
                <c:pt idx="161">
                  <c:v>0.00817934163087317</c:v>
                </c:pt>
                <c:pt idx="162">
                  <c:v>-0.0176188875296429</c:v>
                </c:pt>
                <c:pt idx="163">
                  <c:v>0.0254375043279185</c:v>
                </c:pt>
                <c:pt idx="164">
                  <c:v>0.0010430030389879</c:v>
                </c:pt>
                <c:pt idx="165">
                  <c:v>0.039553646795582</c:v>
                </c:pt>
                <c:pt idx="166">
                  <c:v>0.0212094442202277</c:v>
                </c:pt>
                <c:pt idx="167">
                  <c:v>0.0175364528281977</c:v>
                </c:pt>
                <c:pt idx="168">
                  <c:v>0.0025149139298048</c:v>
                </c:pt>
                <c:pt idx="169">
                  <c:v>0.0112098196279969</c:v>
                </c:pt>
                <c:pt idx="170">
                  <c:v>-0.00228808756382054</c:v>
                </c:pt>
                <c:pt idx="171">
                  <c:v>-0.000696962149184422</c:v>
                </c:pt>
                <c:pt idx="172">
                  <c:v>-0.0278772443155927</c:v>
                </c:pt>
                <c:pt idx="173">
                  <c:v>-0.0113311980631541</c:v>
                </c:pt>
                <c:pt idx="174">
                  <c:v>0.017689669199021</c:v>
                </c:pt>
                <c:pt idx="175">
                  <c:v>0.0105855860362986</c:v>
                </c:pt>
                <c:pt idx="176">
                  <c:v>0.013063077669574</c:v>
                </c:pt>
                <c:pt idx="177">
                  <c:v>-0.0399984322300072</c:v>
                </c:pt>
                <c:pt idx="178">
                  <c:v>-0.065184008661288</c:v>
                </c:pt>
                <c:pt idx="179">
                  <c:v>0.0217997161546663</c:v>
                </c:pt>
                <c:pt idx="180">
                  <c:v>5.51035386003283E-05</c:v>
                </c:pt>
                <c:pt idx="181">
                  <c:v>0.0271502581650671</c:v>
                </c:pt>
                <c:pt idx="182">
                  <c:v>-0.00668696551544828</c:v>
                </c:pt>
                <c:pt idx="183">
                  <c:v>0.034569186904942</c:v>
                </c:pt>
                <c:pt idx="184">
                  <c:v>0.0287137668873859</c:v>
                </c:pt>
                <c:pt idx="185">
                  <c:v>0.0154841184784405</c:v>
                </c:pt>
                <c:pt idx="186">
                  <c:v>0.00848435329652619</c:v>
                </c:pt>
                <c:pt idx="187">
                  <c:v>0.0202738453867917</c:v>
                </c:pt>
                <c:pt idx="188">
                  <c:v>0.00498137983238583</c:v>
                </c:pt>
                <c:pt idx="189">
                  <c:v>-0.0240058529891531</c:v>
                </c:pt>
                <c:pt idx="190">
                  <c:v>0.0212471969595297</c:v>
                </c:pt>
                <c:pt idx="191">
                  <c:v>-0.018136471814032</c:v>
                </c:pt>
                <c:pt idx="192">
                  <c:v>-0.020850899724623</c:v>
                </c:pt>
                <c:pt idx="193">
                  <c:v>-0.0113843361475397</c:v>
                </c:pt>
                <c:pt idx="194">
                  <c:v>0.0520551430146402</c:v>
                </c:pt>
                <c:pt idx="195">
                  <c:v>0.00423457024632267</c:v>
                </c:pt>
                <c:pt idx="196">
                  <c:v>-0.00814184042343941</c:v>
                </c:pt>
                <c:pt idx="197">
                  <c:v>0.0222678481286587</c:v>
                </c:pt>
                <c:pt idx="198">
                  <c:v>0.0214319244348936</c:v>
                </c:pt>
                <c:pt idx="199">
                  <c:v>0.0480418105630231</c:v>
                </c:pt>
                <c:pt idx="200">
                  <c:v>0.0073274189933797</c:v>
                </c:pt>
                <c:pt idx="201">
                  <c:v>0.0208343290789476</c:v>
                </c:pt>
                <c:pt idx="202">
                  <c:v>0.011032432201491</c:v>
                </c:pt>
                <c:pt idx="203">
                  <c:v>-0.00783466288970076</c:v>
                </c:pt>
                <c:pt idx="204">
                  <c:v>-0.00474944269214659</c:v>
                </c:pt>
                <c:pt idx="205">
                  <c:v>-0.00126667894960501</c:v>
                </c:pt>
                <c:pt idx="206">
                  <c:v>-0.00398542311645591</c:v>
                </c:pt>
                <c:pt idx="207">
                  <c:v>0.0154096766164641</c:v>
                </c:pt>
                <c:pt idx="208">
                  <c:v>0.0373511070880527</c:v>
                </c:pt>
                <c:pt idx="209">
                  <c:v>0.0226764291876275</c:v>
                </c:pt>
                <c:pt idx="210">
                  <c:v>0.0106594710337009</c:v>
                </c:pt>
                <c:pt idx="211">
                  <c:v>0.0138230733454693</c:v>
                </c:pt>
                <c:pt idx="212">
                  <c:v>-0.0126372929923817</c:v>
                </c:pt>
                <c:pt idx="213">
                  <c:v>-0.00702586945379152</c:v>
                </c:pt>
                <c:pt idx="214">
                  <c:v>0.00334905591053849</c:v>
                </c:pt>
                <c:pt idx="215">
                  <c:v>0.00554126554328685</c:v>
                </c:pt>
                <c:pt idx="216">
                  <c:v>-0.00484629657534104</c:v>
                </c:pt>
                <c:pt idx="217">
                  <c:v>-0.0171631860664631</c:v>
                </c:pt>
                <c:pt idx="218">
                  <c:v>-0.00109087396206407</c:v>
                </c:pt>
                <c:pt idx="219">
                  <c:v>0.0389261246789989</c:v>
                </c:pt>
                <c:pt idx="220">
                  <c:v>0.0108512310778664</c:v>
                </c:pt>
                <c:pt idx="221">
                  <c:v>0.0256961043849078</c:v>
                </c:pt>
                <c:pt idx="222">
                  <c:v>0.000409072332829426</c:v>
                </c:pt>
                <c:pt idx="223">
                  <c:v>0.00166073963172856</c:v>
                </c:pt>
                <c:pt idx="224">
                  <c:v>-0.00819788253336141</c:v>
                </c:pt>
                <c:pt idx="225">
                  <c:v>0.0138163316752788</c:v>
                </c:pt>
                <c:pt idx="226">
                  <c:v>0.0107796098886634</c:v>
                </c:pt>
                <c:pt idx="227">
                  <c:v>-0.0131077975588476</c:v>
                </c:pt>
                <c:pt idx="228">
                  <c:v>0.00331402080599669</c:v>
                </c:pt>
                <c:pt idx="229">
                  <c:v>0.00142322029339022</c:v>
                </c:pt>
                <c:pt idx="230">
                  <c:v>0.0240371243149219</c:v>
                </c:pt>
                <c:pt idx="231">
                  <c:v>-0.0174558520886744</c:v>
                </c:pt>
                <c:pt idx="232">
                  <c:v>0.0219872886726239</c:v>
                </c:pt>
                <c:pt idx="233">
                  <c:v>-0.018945211252018</c:v>
                </c:pt>
                <c:pt idx="234">
                  <c:v>0.0440026811348285</c:v>
                </c:pt>
                <c:pt idx="235">
                  <c:v>0.00637443835700971</c:v>
                </c:pt>
                <c:pt idx="236">
                  <c:v>0.0177405687800137</c:v>
                </c:pt>
                <c:pt idx="237">
                  <c:v>-0.00646121774619991</c:v>
                </c:pt>
                <c:pt idx="238">
                  <c:v>0.00754777442734446</c:v>
                </c:pt>
                <c:pt idx="239">
                  <c:v>-0.0193690692345562</c:v>
                </c:pt>
                <c:pt idx="240">
                  <c:v>0.000616802999370606</c:v>
                </c:pt>
                <c:pt idx="241">
                  <c:v>0.0345085720000898</c:v>
                </c:pt>
                <c:pt idx="242">
                  <c:v>-0.00559944488607824</c:v>
                </c:pt>
                <c:pt idx="243">
                  <c:v>0.0245381579664493</c:v>
                </c:pt>
                <c:pt idx="244">
                  <c:v>-0.0256872723814959</c:v>
                </c:pt>
                <c:pt idx="245">
                  <c:v>0.00190750297276392</c:v>
                </c:pt>
                <c:pt idx="246">
                  <c:v>-0.00943546935809754</c:v>
                </c:pt>
                <c:pt idx="247">
                  <c:v>0.0195781333749275</c:v>
                </c:pt>
                <c:pt idx="248">
                  <c:v>-0.0178664755627488</c:v>
                </c:pt>
                <c:pt idx="249">
                  <c:v>-0.00643378451792771</c:v>
                </c:pt>
                <c:pt idx="250">
                  <c:v>0.0282593730537209</c:v>
                </c:pt>
                <c:pt idx="251">
                  <c:v>0.00639908350774927</c:v>
                </c:pt>
                <c:pt idx="252">
                  <c:v>0.0202528071136473</c:v>
                </c:pt>
                <c:pt idx="253">
                  <c:v>0.00357333985729263</c:v>
                </c:pt>
                <c:pt idx="254">
                  <c:v>0.00992780523655161</c:v>
                </c:pt>
                <c:pt idx="255">
                  <c:v>0.023055092896209</c:v>
                </c:pt>
                <c:pt idx="256">
                  <c:v>0.041312948035552</c:v>
                </c:pt>
                <c:pt idx="257">
                  <c:v>0.0131144181464761</c:v>
                </c:pt>
                <c:pt idx="258">
                  <c:v>0.0187719395877092</c:v>
                </c:pt>
                <c:pt idx="259">
                  <c:v>-0.00947832386908566</c:v>
                </c:pt>
                <c:pt idx="260">
                  <c:v>0.00607550763727923</c:v>
                </c:pt>
                <c:pt idx="261">
                  <c:v>-0.00616183212104138</c:v>
                </c:pt>
                <c:pt idx="262">
                  <c:v>0.023889776756664</c:v>
                </c:pt>
                <c:pt idx="263">
                  <c:v>0.0249649935916928</c:v>
                </c:pt>
                <c:pt idx="264">
                  <c:v>-0.00276377764095301</c:v>
                </c:pt>
                <c:pt idx="265">
                  <c:v>0.00681596806141397</c:v>
                </c:pt>
                <c:pt idx="266">
                  <c:v>0.00673237793605467</c:v>
                </c:pt>
                <c:pt idx="267">
                  <c:v>0.0230394605272</c:v>
                </c:pt>
                <c:pt idx="268">
                  <c:v>0.026372977587899</c:v>
                </c:pt>
                <c:pt idx="269">
                  <c:v>-0.0181963894899986</c:v>
                </c:pt>
                <c:pt idx="270">
                  <c:v>0.0188069043612306</c:v>
                </c:pt>
                <c:pt idx="271">
                  <c:v>0.0221833207901489</c:v>
                </c:pt>
                <c:pt idx="272">
                  <c:v>-0.0118024667574665</c:v>
                </c:pt>
                <c:pt idx="273">
                  <c:v>0.00676428998395957</c:v>
                </c:pt>
                <c:pt idx="274">
                  <c:v>-0.0252035506070997</c:v>
                </c:pt>
                <c:pt idx="275">
                  <c:v>0.00593941696897682</c:v>
                </c:pt>
                <c:pt idx="276">
                  <c:v>0.0122299909570781</c:v>
                </c:pt>
                <c:pt idx="277">
                  <c:v>0.0249171672011826</c:v>
                </c:pt>
                <c:pt idx="278">
                  <c:v>0.0159025860040185</c:v>
                </c:pt>
                <c:pt idx="279">
                  <c:v>-0.00680129086663224</c:v>
                </c:pt>
                <c:pt idx="280">
                  <c:v>0.00121603500222909</c:v>
                </c:pt>
                <c:pt idx="281">
                  <c:v>0.0265476866444161</c:v>
                </c:pt>
                <c:pt idx="282">
                  <c:v>-0.0134763485525827</c:v>
                </c:pt>
                <c:pt idx="283">
                  <c:v>0.0146147541509649</c:v>
                </c:pt>
                <c:pt idx="284">
                  <c:v>0.00242725839120005</c:v>
                </c:pt>
                <c:pt idx="285">
                  <c:v>0.0122587811818849</c:v>
                </c:pt>
                <c:pt idx="286">
                  <c:v>0.0233111835304195</c:v>
                </c:pt>
                <c:pt idx="287">
                  <c:v>0.00642954212944157</c:v>
                </c:pt>
                <c:pt idx="288">
                  <c:v>-0.00196142649322821</c:v>
                </c:pt>
                <c:pt idx="289">
                  <c:v>0.00767064666291901</c:v>
                </c:pt>
                <c:pt idx="290">
                  <c:v>-0.0173561136784919</c:v>
                </c:pt>
                <c:pt idx="291">
                  <c:v>0.0321534202602413</c:v>
                </c:pt>
                <c:pt idx="292">
                  <c:v>0.0153843357163845</c:v>
                </c:pt>
                <c:pt idx="293">
                  <c:v>0.0157152184274158</c:v>
                </c:pt>
                <c:pt idx="294">
                  <c:v>-0.000349212125184957</c:v>
                </c:pt>
                <c:pt idx="295">
                  <c:v>0.0211736075630984</c:v>
                </c:pt>
                <c:pt idx="296">
                  <c:v>0.0194827720093011</c:v>
                </c:pt>
                <c:pt idx="297">
                  <c:v>0.00525121918522092</c:v>
                </c:pt>
                <c:pt idx="298">
                  <c:v>-0.00320385572852111</c:v>
                </c:pt>
                <c:pt idx="299">
                  <c:v>0.0131478722537614</c:v>
                </c:pt>
                <c:pt idx="300">
                  <c:v>0.0137292854503192</c:v>
                </c:pt>
                <c:pt idx="301">
                  <c:v>-0.00440770897706019</c:v>
                </c:pt>
                <c:pt idx="302">
                  <c:v>-0.00720081021875969</c:v>
                </c:pt>
                <c:pt idx="303">
                  <c:v>0.0294599811647742</c:v>
                </c:pt>
                <c:pt idx="304">
                  <c:v>0.0069590931811044</c:v>
                </c:pt>
                <c:pt idx="305">
                  <c:v>0.018744761305893</c:v>
                </c:pt>
                <c:pt idx="306">
                  <c:v>0.0103101642443804</c:v>
                </c:pt>
                <c:pt idx="307">
                  <c:v>0.00286884023165845</c:v>
                </c:pt>
                <c:pt idx="308">
                  <c:v>-0.0108937767709899</c:v>
                </c:pt>
                <c:pt idx="309">
                  <c:v>-0.0245121831753526</c:v>
                </c:pt>
                <c:pt idx="310">
                  <c:v>0.0303625358210256</c:v>
                </c:pt>
                <c:pt idx="311">
                  <c:v>0.00458553250799139</c:v>
                </c:pt>
                <c:pt idx="312">
                  <c:v>0.0103300508490015</c:v>
                </c:pt>
                <c:pt idx="313">
                  <c:v>0.00681534508695551</c:v>
                </c:pt>
                <c:pt idx="314">
                  <c:v>0.0172935317545453</c:v>
                </c:pt>
                <c:pt idx="315">
                  <c:v>0.0202913759457503</c:v>
                </c:pt>
                <c:pt idx="316">
                  <c:v>0.00213767268531387</c:v>
                </c:pt>
                <c:pt idx="317">
                  <c:v>0.0104914109007465</c:v>
                </c:pt>
                <c:pt idx="318">
                  <c:v>-0.0243246958775458</c:v>
                </c:pt>
                <c:pt idx="319">
                  <c:v>-0.00816144491788095</c:v>
                </c:pt>
                <c:pt idx="320">
                  <c:v>-0.0173216628293147</c:v>
                </c:pt>
                <c:pt idx="321">
                  <c:v>-0.0151391454759246</c:v>
                </c:pt>
                <c:pt idx="322">
                  <c:v>0.0243280434269135</c:v>
                </c:pt>
                <c:pt idx="323">
                  <c:v>0.0118287881396678</c:v>
                </c:pt>
                <c:pt idx="324">
                  <c:v>-0.0369307545073697</c:v>
                </c:pt>
              </c:strCache>
            </c:strRef>
          </c:xVal>
          <c:yVal>
            <c:numRef>
              <c:f>[1]Regreesion!$S$42:$S$366</c:f>
              <c:numCache>
                <c:formatCode>General</c:formatCode>
                <c:ptCount val="325"/>
                <c:pt idx="0">
                  <c:v>-2.3109271473509593E-2</c:v>
                </c:pt>
                <c:pt idx="1">
                  <c:v>5.539434744238779E-2</c:v>
                </c:pt>
                <c:pt idx="2">
                  <c:v>-8.79179958711402E-3</c:v>
                </c:pt>
                <c:pt idx="3">
                  <c:v>-4.9070468123453809E-2</c:v>
                </c:pt>
                <c:pt idx="4">
                  <c:v>1.5623376545747653E-2</c:v>
                </c:pt>
                <c:pt idx="5">
                  <c:v>3.0060097551971102E-3</c:v>
                </c:pt>
                <c:pt idx="6">
                  <c:v>-2.3242568597155733E-2</c:v>
                </c:pt>
                <c:pt idx="7">
                  <c:v>6.3326147121114576E-2</c:v>
                </c:pt>
                <c:pt idx="8">
                  <c:v>7.0181152942595804E-3</c:v>
                </c:pt>
                <c:pt idx="9">
                  <c:v>-1.0936149133598892E-2</c:v>
                </c:pt>
                <c:pt idx="10">
                  <c:v>3.5218847921607441E-2</c:v>
                </c:pt>
                <c:pt idx="11">
                  <c:v>-2.2998497444125104E-2</c:v>
                </c:pt>
                <c:pt idx="12">
                  <c:v>6.9147138319896502E-3</c:v>
                </c:pt>
                <c:pt idx="13">
                  <c:v>1.7296642635861337E-2</c:v>
                </c:pt>
                <c:pt idx="14">
                  <c:v>-2.8889684158199112E-2</c:v>
                </c:pt>
                <c:pt idx="15">
                  <c:v>-6.3562423193509049E-3</c:v>
                </c:pt>
                <c:pt idx="16">
                  <c:v>2.9618656747626825E-3</c:v>
                </c:pt>
                <c:pt idx="17">
                  <c:v>-1.6395402550353606E-2</c:v>
                </c:pt>
                <c:pt idx="18">
                  <c:v>6.7238658104499638E-2</c:v>
                </c:pt>
                <c:pt idx="19">
                  <c:v>1.586936201765175E-2</c:v>
                </c:pt>
                <c:pt idx="20">
                  <c:v>-2.6911007144094126E-2</c:v>
                </c:pt>
                <c:pt idx="21">
                  <c:v>-6.4060818333420491E-2</c:v>
                </c:pt>
                <c:pt idx="22">
                  <c:v>-4.4138006228730785E-2</c:v>
                </c:pt>
                <c:pt idx="23">
                  <c:v>-5.6450008891985645E-3</c:v>
                </c:pt>
                <c:pt idx="24">
                  <c:v>1.8837260168004077E-2</c:v>
                </c:pt>
                <c:pt idx="25">
                  <c:v>5.6751486067808853E-2</c:v>
                </c:pt>
                <c:pt idx="26">
                  <c:v>2.4907913292884581E-2</c:v>
                </c:pt>
                <c:pt idx="27">
                  <c:v>1.638427291305207E-2</c:v>
                </c:pt>
                <c:pt idx="28">
                  <c:v>-3.7430818842601625E-2</c:v>
                </c:pt>
                <c:pt idx="29">
                  <c:v>-2.0372131458084981E-2</c:v>
                </c:pt>
                <c:pt idx="30">
                  <c:v>0.13013945199529711</c:v>
                </c:pt>
                <c:pt idx="31">
                  <c:v>1.5300285004802974E-2</c:v>
                </c:pt>
                <c:pt idx="32">
                  <c:v>1.971940796299864E-2</c:v>
                </c:pt>
                <c:pt idx="33">
                  <c:v>-1.006275304200898E-2</c:v>
                </c:pt>
                <c:pt idx="34">
                  <c:v>2.3389443971891015E-2</c:v>
                </c:pt>
                <c:pt idx="35">
                  <c:v>3.2464046806771861E-3</c:v>
                </c:pt>
                <c:pt idx="36">
                  <c:v>-1.3002556221036552E-2</c:v>
                </c:pt>
                <c:pt idx="37">
                  <c:v>1.9110651034624102E-2</c:v>
                </c:pt>
                <c:pt idx="38">
                  <c:v>-3.9900323715552286E-3</c:v>
                </c:pt>
                <c:pt idx="39">
                  <c:v>-3.893995440151532E-2</c:v>
                </c:pt>
                <c:pt idx="40">
                  <c:v>8.0585367853915596E-2</c:v>
                </c:pt>
                <c:pt idx="41">
                  <c:v>-8.7970463875020853E-3</c:v>
                </c:pt>
                <c:pt idx="42">
                  <c:v>-1.4763202761314329E-2</c:v>
                </c:pt>
                <c:pt idx="43">
                  <c:v>-2.2058831570393282E-2</c:v>
                </c:pt>
                <c:pt idx="44">
                  <c:v>2.5582037116500742E-3</c:v>
                </c:pt>
                <c:pt idx="45">
                  <c:v>1.1117035576776457E-3</c:v>
                </c:pt>
                <c:pt idx="46">
                  <c:v>3.4640643516709362E-2</c:v>
                </c:pt>
                <c:pt idx="47">
                  <c:v>-2.5648724613635598E-2</c:v>
                </c:pt>
                <c:pt idx="48">
                  <c:v>3.9464903054135081E-2</c:v>
                </c:pt>
                <c:pt idx="49">
                  <c:v>-8.5914089585012073E-3</c:v>
                </c:pt>
                <c:pt idx="50">
                  <c:v>-2.2007782252693384E-2</c:v>
                </c:pt>
                <c:pt idx="51">
                  <c:v>3.2579949367992016E-2</c:v>
                </c:pt>
                <c:pt idx="52">
                  <c:v>-2.3935621605455398E-2</c:v>
                </c:pt>
                <c:pt idx="53">
                  <c:v>-8.4510316784405879E-3</c:v>
                </c:pt>
                <c:pt idx="54">
                  <c:v>-2.6687648239802998E-2</c:v>
                </c:pt>
                <c:pt idx="55">
                  <c:v>5.5554629759605326E-3</c:v>
                </c:pt>
                <c:pt idx="56">
                  <c:v>1.4795510903883487E-2</c:v>
                </c:pt>
                <c:pt idx="57">
                  <c:v>-6.8601541683141164E-3</c:v>
                </c:pt>
                <c:pt idx="58">
                  <c:v>9.8858449835691614E-3</c:v>
                </c:pt>
                <c:pt idx="59">
                  <c:v>-4.3703488705844278E-2</c:v>
                </c:pt>
                <c:pt idx="60">
                  <c:v>8.8291362803932349E-2</c:v>
                </c:pt>
                <c:pt idx="61">
                  <c:v>-4.4040729883154883E-2</c:v>
                </c:pt>
                <c:pt idx="62">
                  <c:v>-0.13008777664616483</c:v>
                </c:pt>
                <c:pt idx="63">
                  <c:v>0.1447758879561549</c:v>
                </c:pt>
                <c:pt idx="64">
                  <c:v>9.246135022596888E-2</c:v>
                </c:pt>
                <c:pt idx="65">
                  <c:v>-4.8937901561690055E-2</c:v>
                </c:pt>
                <c:pt idx="66">
                  <c:v>6.2183761382158545E-2</c:v>
                </c:pt>
                <c:pt idx="67">
                  <c:v>1.1772212953733024E-2</c:v>
                </c:pt>
                <c:pt idx="68">
                  <c:v>-6.9809250991257343E-3</c:v>
                </c:pt>
                <c:pt idx="69">
                  <c:v>-3.4970387762923216E-2</c:v>
                </c:pt>
                <c:pt idx="70">
                  <c:v>1.6702288669199553E-3</c:v>
                </c:pt>
                <c:pt idx="71">
                  <c:v>1.2386673840602963E-3</c:v>
                </c:pt>
                <c:pt idx="72">
                  <c:v>3.7499026988757879E-2</c:v>
                </c:pt>
                <c:pt idx="73">
                  <c:v>1.3261083115583217E-2</c:v>
                </c:pt>
                <c:pt idx="74">
                  <c:v>-2.2409215653834406E-2</c:v>
                </c:pt>
                <c:pt idx="75">
                  <c:v>5.8665706804670835E-2</c:v>
                </c:pt>
                <c:pt idx="76">
                  <c:v>-2.3176319503858525E-2</c:v>
                </c:pt>
                <c:pt idx="77">
                  <c:v>1.2664602367002536E-2</c:v>
                </c:pt>
                <c:pt idx="78">
                  <c:v>-5.8896110526870243E-3</c:v>
                </c:pt>
                <c:pt idx="79">
                  <c:v>2.5187885841468437E-2</c:v>
                </c:pt>
                <c:pt idx="80">
                  <c:v>3.9848512614036553E-2</c:v>
                </c:pt>
                <c:pt idx="81">
                  <c:v>-1.9486009359009744E-2</c:v>
                </c:pt>
                <c:pt idx="82">
                  <c:v>1.028413415228225E-2</c:v>
                </c:pt>
                <c:pt idx="83">
                  <c:v>7.2119772974669094E-2</c:v>
                </c:pt>
                <c:pt idx="84">
                  <c:v>2.7315862817435491E-2</c:v>
                </c:pt>
                <c:pt idx="85">
                  <c:v>-1.0609144898365022E-2</c:v>
                </c:pt>
                <c:pt idx="86">
                  <c:v>-5.3295853649536706E-2</c:v>
                </c:pt>
                <c:pt idx="87">
                  <c:v>-1.63734705698054E-3</c:v>
                </c:pt>
                <c:pt idx="88">
                  <c:v>-1.1589202085358852E-2</c:v>
                </c:pt>
                <c:pt idx="89">
                  <c:v>-2.998590802146546E-3</c:v>
                </c:pt>
                <c:pt idx="90">
                  <c:v>1.3568947423079229E-2</c:v>
                </c:pt>
                <c:pt idx="91">
                  <c:v>3.2388045815051329E-2</c:v>
                </c:pt>
                <c:pt idx="92">
                  <c:v>-2.8931047557120164E-2</c:v>
                </c:pt>
                <c:pt idx="93">
                  <c:v>-3.0457526119318255E-2</c:v>
                </c:pt>
                <c:pt idx="94">
                  <c:v>-2.3962976078506865E-2</c:v>
                </c:pt>
                <c:pt idx="95">
                  <c:v>-0.10461600543079991</c:v>
                </c:pt>
                <c:pt idx="96">
                  <c:v>-2.2738886011065558E-2</c:v>
                </c:pt>
                <c:pt idx="97">
                  <c:v>-1.4474290228468974E-2</c:v>
                </c:pt>
                <c:pt idx="98">
                  <c:v>-3.2788688401075919E-2</c:v>
                </c:pt>
                <c:pt idx="99">
                  <c:v>-2.7882382332234369E-2</c:v>
                </c:pt>
                <c:pt idx="100">
                  <c:v>8.0435469089037259E-2</c:v>
                </c:pt>
                <c:pt idx="101">
                  <c:v>3.5665012339683912E-3</c:v>
                </c:pt>
                <c:pt idx="102">
                  <c:v>1.2459891399722218E-2</c:v>
                </c:pt>
                <c:pt idx="103">
                  <c:v>-7.5632448231452848E-3</c:v>
                </c:pt>
                <c:pt idx="104">
                  <c:v>2.0975760072978758E-2</c:v>
                </c:pt>
                <c:pt idx="105">
                  <c:v>-1.3411372821057067E-2</c:v>
                </c:pt>
                <c:pt idx="106">
                  <c:v>4.0256750833304177E-2</c:v>
                </c:pt>
                <c:pt idx="107">
                  <c:v>-5.5277231112494406E-2</c:v>
                </c:pt>
                <c:pt idx="108">
                  <c:v>-3.6186719455385341E-3</c:v>
                </c:pt>
                <c:pt idx="109">
                  <c:v>-2.8884908202485488E-2</c:v>
                </c:pt>
                <c:pt idx="110">
                  <c:v>-6.628503288902543E-2</c:v>
                </c:pt>
                <c:pt idx="111">
                  <c:v>2.500000312812968E-2</c:v>
                </c:pt>
                <c:pt idx="112">
                  <c:v>5.9425699417352464E-2</c:v>
                </c:pt>
                <c:pt idx="113">
                  <c:v>7.2925542694002782E-2</c:v>
                </c:pt>
                <c:pt idx="114">
                  <c:v>1.4256813639452789E-2</c:v>
                </c:pt>
                <c:pt idx="115">
                  <c:v>-6.0371241214162423E-2</c:v>
                </c:pt>
                <c:pt idx="116">
                  <c:v>-6.6954697901799587E-3</c:v>
                </c:pt>
                <c:pt idx="117">
                  <c:v>-2.0905028240522368E-2</c:v>
                </c:pt>
                <c:pt idx="118">
                  <c:v>-3.8813815048452396E-2</c:v>
                </c:pt>
                <c:pt idx="119">
                  <c:v>-7.6476580663148247E-2</c:v>
                </c:pt>
                <c:pt idx="120">
                  <c:v>-1.2308024081131089E-3</c:v>
                </c:pt>
                <c:pt idx="121">
                  <c:v>9.7360682339703783E-3</c:v>
                </c:pt>
                <c:pt idx="122">
                  <c:v>-3.9072937445687132E-3</c:v>
                </c:pt>
                <c:pt idx="123">
                  <c:v>-1.227535154028269E-2</c:v>
                </c:pt>
                <c:pt idx="124">
                  <c:v>-1.6894003305780309E-2</c:v>
                </c:pt>
                <c:pt idx="125">
                  <c:v>-2.3796151430028861E-2</c:v>
                </c:pt>
                <c:pt idx="126">
                  <c:v>9.3412064370997534E-3</c:v>
                </c:pt>
                <c:pt idx="127">
                  <c:v>1.198570823653354E-2</c:v>
                </c:pt>
                <c:pt idx="128">
                  <c:v>1.9578072564424155E-2</c:v>
                </c:pt>
                <c:pt idx="129">
                  <c:v>-5.8110582193775781E-2</c:v>
                </c:pt>
                <c:pt idx="130">
                  <c:v>-3.1867749060414639E-3</c:v>
                </c:pt>
                <c:pt idx="131">
                  <c:v>3.4868699750785895E-2</c:v>
                </c:pt>
                <c:pt idx="132">
                  <c:v>-4.7510709750689314E-2</c:v>
                </c:pt>
                <c:pt idx="133">
                  <c:v>-8.1590203746523884E-3</c:v>
                </c:pt>
                <c:pt idx="134">
                  <c:v>-3.0828933101082215E-2</c:v>
                </c:pt>
                <c:pt idx="135">
                  <c:v>1.835553892223267E-2</c:v>
                </c:pt>
                <c:pt idx="136">
                  <c:v>-3.9225709047536653E-2</c:v>
                </c:pt>
                <c:pt idx="137">
                  <c:v>-2.9368820463183835E-2</c:v>
                </c:pt>
                <c:pt idx="138">
                  <c:v>4.2860978705012865E-3</c:v>
                </c:pt>
                <c:pt idx="139">
                  <c:v>1.1655613659712447E-2</c:v>
                </c:pt>
                <c:pt idx="140">
                  <c:v>-1.8760401163355707E-2</c:v>
                </c:pt>
                <c:pt idx="141">
                  <c:v>3.2680449272439398E-2</c:v>
                </c:pt>
                <c:pt idx="142">
                  <c:v>2.4845830795374835E-2</c:v>
                </c:pt>
                <c:pt idx="143">
                  <c:v>-2.4574560768295665E-2</c:v>
                </c:pt>
                <c:pt idx="144">
                  <c:v>8.2663815138893058E-3</c:v>
                </c:pt>
                <c:pt idx="145">
                  <c:v>6.3896466676170521E-2</c:v>
                </c:pt>
                <c:pt idx="146">
                  <c:v>-3.1797464911966111E-2</c:v>
                </c:pt>
                <c:pt idx="147">
                  <c:v>-8.0426275785774569E-3</c:v>
                </c:pt>
                <c:pt idx="148">
                  <c:v>-7.318324996376864E-3</c:v>
                </c:pt>
                <c:pt idx="149">
                  <c:v>-3.2957545350686138E-2</c:v>
                </c:pt>
                <c:pt idx="150">
                  <c:v>1.5379484491167628E-3</c:v>
                </c:pt>
                <c:pt idx="151">
                  <c:v>-1.4235778985210855E-2</c:v>
                </c:pt>
                <c:pt idx="152">
                  <c:v>-7.260643646154882E-4</c:v>
                </c:pt>
                <c:pt idx="153">
                  <c:v>-3.8510841314780553E-3</c:v>
                </c:pt>
                <c:pt idx="154">
                  <c:v>-1.3126299959365055E-2</c:v>
                </c:pt>
                <c:pt idx="155">
                  <c:v>-4.5116350650757392E-2</c:v>
                </c:pt>
                <c:pt idx="156">
                  <c:v>-2.4483957048364972E-2</c:v>
                </c:pt>
                <c:pt idx="157">
                  <c:v>8.4820048798157396E-2</c:v>
                </c:pt>
                <c:pt idx="158">
                  <c:v>-2.9573172803394832E-2</c:v>
                </c:pt>
                <c:pt idx="159">
                  <c:v>3.8877917745498314E-2</c:v>
                </c:pt>
                <c:pt idx="160">
                  <c:v>9.3401748513063931E-5</c:v>
                </c:pt>
                <c:pt idx="161">
                  <c:v>8.580665370957799E-2</c:v>
                </c:pt>
                <c:pt idx="162">
                  <c:v>-2.5654158584878073E-2</c:v>
                </c:pt>
                <c:pt idx="163">
                  <c:v>-1.6061514070498072E-2</c:v>
                </c:pt>
                <c:pt idx="164">
                  <c:v>7.8426985836452315E-3</c:v>
                </c:pt>
                <c:pt idx="165">
                  <c:v>-6.0170442253663567E-2</c:v>
                </c:pt>
                <c:pt idx="166">
                  <c:v>9.8349915720962217E-2</c:v>
                </c:pt>
                <c:pt idx="167">
                  <c:v>-4.6014634765259452E-2</c:v>
                </c:pt>
                <c:pt idx="168">
                  <c:v>-3.1074682530526539E-2</c:v>
                </c:pt>
                <c:pt idx="169">
                  <c:v>-2.4557107055308926E-2</c:v>
                </c:pt>
                <c:pt idx="170">
                  <c:v>1.8364638298850988E-2</c:v>
                </c:pt>
                <c:pt idx="171">
                  <c:v>2.2691577813161844E-2</c:v>
                </c:pt>
                <c:pt idx="172">
                  <c:v>-5.2356685591755985E-2</c:v>
                </c:pt>
                <c:pt idx="173">
                  <c:v>7.4301233123677413E-3</c:v>
                </c:pt>
                <c:pt idx="174">
                  <c:v>-6.6730445434580038E-2</c:v>
                </c:pt>
                <c:pt idx="175">
                  <c:v>-4.7350641459674749E-3</c:v>
                </c:pt>
                <c:pt idx="176">
                  <c:v>-1.5648732620077065E-2</c:v>
                </c:pt>
                <c:pt idx="177">
                  <c:v>-5.9569508121072104E-2</c:v>
                </c:pt>
                <c:pt idx="178">
                  <c:v>-4.6114162295568889E-2</c:v>
                </c:pt>
                <c:pt idx="179">
                  <c:v>4.2438469683766328E-2</c:v>
                </c:pt>
                <c:pt idx="180">
                  <c:v>-3.4799578863586922E-2</c:v>
                </c:pt>
                <c:pt idx="181">
                  <c:v>4.0637155060836844E-2</c:v>
                </c:pt>
                <c:pt idx="182">
                  <c:v>2.8887369195457029E-4</c:v>
                </c:pt>
                <c:pt idx="183">
                  <c:v>6.647030942624732E-2</c:v>
                </c:pt>
                <c:pt idx="184">
                  <c:v>-8.2019332441627388E-2</c:v>
                </c:pt>
                <c:pt idx="185">
                  <c:v>3.8923633675690163E-2</c:v>
                </c:pt>
                <c:pt idx="186">
                  <c:v>1.7877302102787821E-2</c:v>
                </c:pt>
                <c:pt idx="187">
                  <c:v>-4.8155119509991323E-2</c:v>
                </c:pt>
                <c:pt idx="188">
                  <c:v>5.7062053585106914E-3</c:v>
                </c:pt>
                <c:pt idx="189">
                  <c:v>-4.7506157064349727E-2</c:v>
                </c:pt>
                <c:pt idx="190">
                  <c:v>1.7515819718690977E-2</c:v>
                </c:pt>
                <c:pt idx="191">
                  <c:v>2.7649217268641807E-2</c:v>
                </c:pt>
                <c:pt idx="192">
                  <c:v>-5.0904966980752926E-2</c:v>
                </c:pt>
                <c:pt idx="193">
                  <c:v>-5.8912816852212634E-4</c:v>
                </c:pt>
                <c:pt idx="194">
                  <c:v>7.4812431928875586E-3</c:v>
                </c:pt>
                <c:pt idx="195">
                  <c:v>1.9385762245312858E-2</c:v>
                </c:pt>
                <c:pt idx="196">
                  <c:v>-1.0562434060645776E-2</c:v>
                </c:pt>
                <c:pt idx="197">
                  <c:v>1.4861099800867542E-2</c:v>
                </c:pt>
                <c:pt idx="198">
                  <c:v>-7.1116824298868148E-3</c:v>
                </c:pt>
                <c:pt idx="199">
                  <c:v>-2.4983491991010576E-2</c:v>
                </c:pt>
                <c:pt idx="200">
                  <c:v>-2.4345422582776791E-2</c:v>
                </c:pt>
                <c:pt idx="201">
                  <c:v>2.759767709953747E-2</c:v>
                </c:pt>
                <c:pt idx="202">
                  <c:v>-7.4623421253721244E-3</c:v>
                </c:pt>
                <c:pt idx="203">
                  <c:v>1.1641544565941919E-3</c:v>
                </c:pt>
                <c:pt idx="204">
                  <c:v>-4.4725681194172889E-2</c:v>
                </c:pt>
                <c:pt idx="205">
                  <c:v>-6.0334248748515522E-3</c:v>
                </c:pt>
                <c:pt idx="206">
                  <c:v>-7.5967593297863491E-4</c:v>
                </c:pt>
                <c:pt idx="207">
                  <c:v>3.6557289262311964E-2</c:v>
                </c:pt>
                <c:pt idx="208">
                  <c:v>-5.4009989911165263E-3</c:v>
                </c:pt>
                <c:pt idx="209">
                  <c:v>3.3758314166539238E-2</c:v>
                </c:pt>
                <c:pt idx="210">
                  <c:v>7.8398217952841982E-3</c:v>
                </c:pt>
                <c:pt idx="211">
                  <c:v>-3.2190224317157096E-2</c:v>
                </c:pt>
                <c:pt idx="212">
                  <c:v>-1.8132539749513545E-2</c:v>
                </c:pt>
                <c:pt idx="213">
                  <c:v>-1.6354811129281444E-2</c:v>
                </c:pt>
                <c:pt idx="214">
                  <c:v>8.6132066805219842E-3</c:v>
                </c:pt>
                <c:pt idx="215">
                  <c:v>-2.6124075966506261E-2</c:v>
                </c:pt>
                <c:pt idx="216">
                  <c:v>3.1764764784406999E-2</c:v>
                </c:pt>
                <c:pt idx="217">
                  <c:v>-1.1578640476613687E-2</c:v>
                </c:pt>
                <c:pt idx="218">
                  <c:v>-8.3802911729832438E-3</c:v>
                </c:pt>
                <c:pt idx="219">
                  <c:v>-2.386831431258795E-2</c:v>
                </c:pt>
                <c:pt idx="220">
                  <c:v>2.3997057459436505E-2</c:v>
                </c:pt>
                <c:pt idx="221">
                  <c:v>1.0708394860014188E-2</c:v>
                </c:pt>
                <c:pt idx="222">
                  <c:v>-1.5995831566541427E-2</c:v>
                </c:pt>
                <c:pt idx="223">
                  <c:v>-1.0358512844223322E-2</c:v>
                </c:pt>
                <c:pt idx="224">
                  <c:v>4.6217912702409054E-2</c:v>
                </c:pt>
                <c:pt idx="225">
                  <c:v>-8.8309814787212275E-3</c:v>
                </c:pt>
                <c:pt idx="226">
                  <c:v>-9.4859810473328886E-3</c:v>
                </c:pt>
                <c:pt idx="227">
                  <c:v>-3.8582208718046733E-2</c:v>
                </c:pt>
                <c:pt idx="228">
                  <c:v>-4.0561120543549822E-2</c:v>
                </c:pt>
                <c:pt idx="229">
                  <c:v>-1.1876395949815379E-3</c:v>
                </c:pt>
                <c:pt idx="230">
                  <c:v>-8.2361062692043671E-3</c:v>
                </c:pt>
                <c:pt idx="231">
                  <c:v>-1.4817069477447993E-2</c:v>
                </c:pt>
                <c:pt idx="232">
                  <c:v>2.7677116792074255E-2</c:v>
                </c:pt>
                <c:pt idx="233">
                  <c:v>8.8878983883780571E-3</c:v>
                </c:pt>
                <c:pt idx="234">
                  <c:v>-7.0586532272095687E-3</c:v>
                </c:pt>
                <c:pt idx="235">
                  <c:v>-2.1071489417009672E-2</c:v>
                </c:pt>
                <c:pt idx="236">
                  <c:v>1.2767484259047175E-2</c:v>
                </c:pt>
                <c:pt idx="237">
                  <c:v>9.3126526257737499E-3</c:v>
                </c:pt>
                <c:pt idx="238">
                  <c:v>2.4816242775231409E-2</c:v>
                </c:pt>
                <c:pt idx="239">
                  <c:v>-5.4143296439098723E-3</c:v>
                </c:pt>
                <c:pt idx="240">
                  <c:v>9.5169599283562948E-4</c:v>
                </c:pt>
                <c:pt idx="241">
                  <c:v>-2.3582908342941744E-3</c:v>
                </c:pt>
                <c:pt idx="242">
                  <c:v>7.1238438332722632E-3</c:v>
                </c:pt>
                <c:pt idx="243">
                  <c:v>-1.5838936677869779E-2</c:v>
                </c:pt>
                <c:pt idx="244">
                  <c:v>1.5985050209509181E-2</c:v>
                </c:pt>
                <c:pt idx="245">
                  <c:v>-1.3011654866947038E-2</c:v>
                </c:pt>
                <c:pt idx="246">
                  <c:v>3.7106805029688186E-3</c:v>
                </c:pt>
                <c:pt idx="247">
                  <c:v>2.2274388107809295E-2</c:v>
                </c:pt>
                <c:pt idx="248">
                  <c:v>-3.6757403791179616E-2</c:v>
                </c:pt>
                <c:pt idx="249">
                  <c:v>1.0031410261724114E-2</c:v>
                </c:pt>
                <c:pt idx="250">
                  <c:v>1.5199230076238204E-2</c:v>
                </c:pt>
                <c:pt idx="251">
                  <c:v>-1.1121744967342931E-2</c:v>
                </c:pt>
                <c:pt idx="252">
                  <c:v>2.3849217635879896E-4</c:v>
                </c:pt>
                <c:pt idx="253">
                  <c:v>-2.2596343646934136E-2</c:v>
                </c:pt>
                <c:pt idx="254">
                  <c:v>1.9160038611668002E-2</c:v>
                </c:pt>
                <c:pt idx="255">
                  <c:v>4.1650598132521449E-3</c:v>
                </c:pt>
                <c:pt idx="256">
                  <c:v>-3.8079725722663452E-3</c:v>
                </c:pt>
                <c:pt idx="257">
                  <c:v>3.1919237665903755E-3</c:v>
                </c:pt>
                <c:pt idx="258">
                  <c:v>6.3592011626399346E-3</c:v>
                </c:pt>
                <c:pt idx="259">
                  <c:v>3.0662772782579402E-3</c:v>
                </c:pt>
                <c:pt idx="260">
                  <c:v>9.2045424770263048E-2</c:v>
                </c:pt>
                <c:pt idx="261">
                  <c:v>-4.7264816852815601E-3</c:v>
                </c:pt>
                <c:pt idx="262">
                  <c:v>-2.0220003664287486E-2</c:v>
                </c:pt>
                <c:pt idx="263">
                  <c:v>-4.1330177333518778E-2</c:v>
                </c:pt>
                <c:pt idx="264">
                  <c:v>3.6487118391943293E-3</c:v>
                </c:pt>
                <c:pt idx="265">
                  <c:v>0.1330607837294859</c:v>
                </c:pt>
                <c:pt idx="266">
                  <c:v>1.2041138641576011E-3</c:v>
                </c:pt>
                <c:pt idx="267">
                  <c:v>-6.3708513498936623E-2</c:v>
                </c:pt>
                <c:pt idx="268">
                  <c:v>-3.7013579458441394E-2</c:v>
                </c:pt>
                <c:pt idx="269">
                  <c:v>3.8696959599674459E-2</c:v>
                </c:pt>
                <c:pt idx="270">
                  <c:v>-5.7979564792848826E-3</c:v>
                </c:pt>
                <c:pt idx="271">
                  <c:v>2.2192275407344704E-2</c:v>
                </c:pt>
                <c:pt idx="272">
                  <c:v>-6.5636388210658526E-3</c:v>
                </c:pt>
                <c:pt idx="273">
                  <c:v>-8.0326613149574594E-3</c:v>
                </c:pt>
                <c:pt idx="274">
                  <c:v>-4.8011578642332478E-3</c:v>
                </c:pt>
                <c:pt idx="275">
                  <c:v>-1.5432373840813529E-2</c:v>
                </c:pt>
                <c:pt idx="276">
                  <c:v>-1.5203811721159992E-2</c:v>
                </c:pt>
                <c:pt idx="277">
                  <c:v>-9.2037141377746046E-2</c:v>
                </c:pt>
                <c:pt idx="278">
                  <c:v>-6.2388451389568805E-4</c:v>
                </c:pt>
                <c:pt idx="279">
                  <c:v>8.5507110461554171E-3</c:v>
                </c:pt>
                <c:pt idx="280">
                  <c:v>1.5901877224424949E-2</c:v>
                </c:pt>
                <c:pt idx="281">
                  <c:v>1.6167692778953913E-3</c:v>
                </c:pt>
                <c:pt idx="282">
                  <c:v>7.0432851922039963E-2</c:v>
                </c:pt>
                <c:pt idx="283">
                  <c:v>-2.3428839975795507E-4</c:v>
                </c:pt>
                <c:pt idx="284">
                  <c:v>-4.8851435256841533E-2</c:v>
                </c:pt>
                <c:pt idx="285">
                  <c:v>6.0379964776563991E-3</c:v>
                </c:pt>
                <c:pt idx="286">
                  <c:v>3.7334691231156895E-2</c:v>
                </c:pt>
                <c:pt idx="287">
                  <c:v>-2.1707685259203406E-2</c:v>
                </c:pt>
                <c:pt idx="288">
                  <c:v>3.5755429658046498E-2</c:v>
                </c:pt>
                <c:pt idx="289">
                  <c:v>5.1085217890725551E-3</c:v>
                </c:pt>
                <c:pt idx="290">
                  <c:v>5.7652535073336036E-3</c:v>
                </c:pt>
                <c:pt idx="291">
                  <c:v>0.11657764093248707</c:v>
                </c:pt>
                <c:pt idx="292">
                  <c:v>1.9738577729408423E-2</c:v>
                </c:pt>
                <c:pt idx="293">
                  <c:v>1.1391496203720965E-2</c:v>
                </c:pt>
                <c:pt idx="294">
                  <c:v>3.0888544341010123E-2</c:v>
                </c:pt>
                <c:pt idx="295">
                  <c:v>-2.6295754509349942E-2</c:v>
                </c:pt>
                <c:pt idx="296">
                  <c:v>-4.0321227873574693E-2</c:v>
                </c:pt>
                <c:pt idx="297">
                  <c:v>-5.7519166399321794E-3</c:v>
                </c:pt>
                <c:pt idx="298">
                  <c:v>-4.561608560147647E-3</c:v>
                </c:pt>
                <c:pt idx="299">
                  <c:v>6.1173299131608155E-4</c:v>
                </c:pt>
                <c:pt idx="300">
                  <c:v>-6.3831641140516399E-3</c:v>
                </c:pt>
                <c:pt idx="301">
                  <c:v>-7.2118387140355494E-3</c:v>
                </c:pt>
                <c:pt idx="302">
                  <c:v>3.058767631139854E-2</c:v>
                </c:pt>
                <c:pt idx="303">
                  <c:v>9.2788235560763849E-3</c:v>
                </c:pt>
                <c:pt idx="304">
                  <c:v>4.5629620099500924E-2</c:v>
                </c:pt>
                <c:pt idx="305">
                  <c:v>-1.2150740285955863E-2</c:v>
                </c:pt>
                <c:pt idx="306">
                  <c:v>-1.4267922842461402E-3</c:v>
                </c:pt>
                <c:pt idx="307">
                  <c:v>4.0493944571140861E-2</c:v>
                </c:pt>
                <c:pt idx="308">
                  <c:v>1.300390059158483E-2</c:v>
                </c:pt>
                <c:pt idx="309">
                  <c:v>-8.1197501690101342E-3</c:v>
                </c:pt>
                <c:pt idx="310">
                  <c:v>2.0998124738517504E-2</c:v>
                </c:pt>
                <c:pt idx="311">
                  <c:v>-2.1870094194217333E-2</c:v>
                </c:pt>
                <c:pt idx="312">
                  <c:v>1.168142796813048E-2</c:v>
                </c:pt>
                <c:pt idx="313">
                  <c:v>-5.7825129719171572E-2</c:v>
                </c:pt>
                <c:pt idx="314">
                  <c:v>4.7426128393691667E-2</c:v>
                </c:pt>
                <c:pt idx="315">
                  <c:v>1.4996687972817235E-2</c:v>
                </c:pt>
                <c:pt idx="316">
                  <c:v>7.1221053571436099E-3</c:v>
                </c:pt>
                <c:pt idx="317">
                  <c:v>-2.0349717516467171E-2</c:v>
                </c:pt>
                <c:pt idx="318">
                  <c:v>-4.8032215045441758E-2</c:v>
                </c:pt>
                <c:pt idx="319">
                  <c:v>1.2197314111525796E-2</c:v>
                </c:pt>
                <c:pt idx="320">
                  <c:v>2.1123823007151016E-3</c:v>
                </c:pt>
                <c:pt idx="321">
                  <c:v>-1.3542049332855495E-2</c:v>
                </c:pt>
                <c:pt idx="322">
                  <c:v>1.5989893152236652E-2</c:v>
                </c:pt>
                <c:pt idx="323">
                  <c:v>2.1686458777124763E-2</c:v>
                </c:pt>
                <c:pt idx="324">
                  <c:v>2.2838165603188756E-3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DA-4A0E-B7A4-8C94596D9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387871"/>
        <c:axId val="166542159"/>
      </c:scatterChart>
      <c:valAx>
        <c:axId val="34438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2159"/>
        <c:crosses val="autoZero"/>
        <c:crossBetween val="midCat"/>
      </c:valAx>
      <c:valAx>
        <c:axId val="16654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38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accent1"/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Government</a:t>
            </a:r>
            <a:r>
              <a:rPr lang="en-US" altLang="zh-TW" b="1" baseline="0"/>
              <a:t> </a:t>
            </a:r>
            <a:r>
              <a:rPr lang="en-US" altLang="zh-TW" b="1"/>
              <a:t>Bond Yield in 2019-2024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 Year Bond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'Risk Free Rate'!$A$10:$A$1590</c:f>
              <c:strCache>
                <c:ptCount val="1581"/>
                <c:pt idx="0">
                  <c:v>02-Jan-2019</c:v>
                </c:pt>
                <c:pt idx="1">
                  <c:v>03-Jan-2019</c:v>
                </c:pt>
                <c:pt idx="2">
                  <c:v>04-Jan-2019</c:v>
                </c:pt>
                <c:pt idx="3">
                  <c:v>07-Jan-2019</c:v>
                </c:pt>
                <c:pt idx="4">
                  <c:v>08-Jan-2019</c:v>
                </c:pt>
                <c:pt idx="5">
                  <c:v>09-Jan-2019</c:v>
                </c:pt>
                <c:pt idx="6">
                  <c:v>10-Jan-2019</c:v>
                </c:pt>
                <c:pt idx="7">
                  <c:v>2019-01-11</c:v>
                </c:pt>
                <c:pt idx="8">
                  <c:v>14-Jan-2019</c:v>
                </c:pt>
                <c:pt idx="9">
                  <c:v>15-Jan-2019</c:v>
                </c:pt>
                <c:pt idx="10">
                  <c:v>16-Jan-2019</c:v>
                </c:pt>
                <c:pt idx="11">
                  <c:v>17-Jan-2019</c:v>
                </c:pt>
                <c:pt idx="12">
                  <c:v>18-Jan-2019</c:v>
                </c:pt>
                <c:pt idx="13">
                  <c:v>21-Jan-2019</c:v>
                </c:pt>
                <c:pt idx="14">
                  <c:v>22-Jan-2019</c:v>
                </c:pt>
                <c:pt idx="15">
                  <c:v>23-Jan-2019</c:v>
                </c:pt>
                <c:pt idx="16">
                  <c:v>24-Jan-2019</c:v>
                </c:pt>
                <c:pt idx="17">
                  <c:v>25-Jan-2019</c:v>
                </c:pt>
                <c:pt idx="18">
                  <c:v>29-Jan-2019</c:v>
                </c:pt>
                <c:pt idx="19">
                  <c:v>30-Jan-2019</c:v>
                </c:pt>
                <c:pt idx="20">
                  <c:v>31-Jan-2019</c:v>
                </c:pt>
                <c:pt idx="21">
                  <c:v>01-Feb-2019</c:v>
                </c:pt>
                <c:pt idx="22">
                  <c:v>04-Feb-2019</c:v>
                </c:pt>
                <c:pt idx="23">
                  <c:v>05-Feb-2019</c:v>
                </c:pt>
                <c:pt idx="24">
                  <c:v>06-Feb-2019</c:v>
                </c:pt>
                <c:pt idx="25">
                  <c:v>07-Feb-2019</c:v>
                </c:pt>
                <c:pt idx="26">
                  <c:v>08-Feb-2019</c:v>
                </c:pt>
                <c:pt idx="27">
                  <c:v>11-Feb-2019</c:v>
                </c:pt>
                <c:pt idx="28">
                  <c:v>12-Feb-2019</c:v>
                </c:pt>
                <c:pt idx="29">
                  <c:v>13-Feb-2019</c:v>
                </c:pt>
                <c:pt idx="30">
                  <c:v>14-Feb-2019</c:v>
                </c:pt>
                <c:pt idx="31">
                  <c:v>15-Feb-2019</c:v>
                </c:pt>
                <c:pt idx="32">
                  <c:v>18-Feb-2019</c:v>
                </c:pt>
                <c:pt idx="33">
                  <c:v>19-Feb-2019</c:v>
                </c:pt>
                <c:pt idx="34">
                  <c:v>20-Feb-2019</c:v>
                </c:pt>
                <c:pt idx="35">
                  <c:v>21-Feb-2019</c:v>
                </c:pt>
                <c:pt idx="36">
                  <c:v>22-Feb-2019</c:v>
                </c:pt>
                <c:pt idx="37">
                  <c:v>25-Feb-2019</c:v>
                </c:pt>
                <c:pt idx="38">
                  <c:v>26-Feb-2019</c:v>
                </c:pt>
                <c:pt idx="39">
                  <c:v>27-Feb-2019</c:v>
                </c:pt>
                <c:pt idx="40">
                  <c:v>28-Feb-2019</c:v>
                </c:pt>
                <c:pt idx="41">
                  <c:v>01-Mar-2019</c:v>
                </c:pt>
                <c:pt idx="42">
                  <c:v>04-Mar-2019</c:v>
                </c:pt>
                <c:pt idx="43">
                  <c:v>05-Mar-2019</c:v>
                </c:pt>
                <c:pt idx="44">
                  <c:v>06-Mar-2019</c:v>
                </c:pt>
                <c:pt idx="45">
                  <c:v>07-Mar-2019</c:v>
                </c:pt>
                <c:pt idx="46">
                  <c:v>08-Mar-2019</c:v>
                </c:pt>
                <c:pt idx="47">
                  <c:v>11-Mar-2019</c:v>
                </c:pt>
                <c:pt idx="48">
                  <c:v>12-Mar-2019</c:v>
                </c:pt>
                <c:pt idx="49">
                  <c:v>13-Mar-2019</c:v>
                </c:pt>
                <c:pt idx="50">
                  <c:v>14-Mar-2019</c:v>
                </c:pt>
                <c:pt idx="51">
                  <c:v>15-Mar-2019</c:v>
                </c:pt>
                <c:pt idx="52">
                  <c:v>18-Mar-2019</c:v>
                </c:pt>
                <c:pt idx="53">
                  <c:v>19-Mar-2019</c:v>
                </c:pt>
                <c:pt idx="54">
                  <c:v>20-Mar-2019</c:v>
                </c:pt>
                <c:pt idx="55">
                  <c:v>21-Mar-2019</c:v>
                </c:pt>
                <c:pt idx="56">
                  <c:v>22-Mar-2019</c:v>
                </c:pt>
                <c:pt idx="57">
                  <c:v>25-Mar-2019</c:v>
                </c:pt>
                <c:pt idx="58">
                  <c:v>26-Mar-2019</c:v>
                </c:pt>
                <c:pt idx="59">
                  <c:v>27-Mar-2019</c:v>
                </c:pt>
                <c:pt idx="60">
                  <c:v>28-Mar-2019</c:v>
                </c:pt>
                <c:pt idx="61">
                  <c:v>29-Mar-2019</c:v>
                </c:pt>
                <c:pt idx="62">
                  <c:v>01-Apr-2019</c:v>
                </c:pt>
                <c:pt idx="63">
                  <c:v>02-Apr-2019</c:v>
                </c:pt>
                <c:pt idx="64">
                  <c:v>03-Apr-2019</c:v>
                </c:pt>
                <c:pt idx="65">
                  <c:v>04-Apr-2019</c:v>
                </c:pt>
                <c:pt idx="66">
                  <c:v>05-Apr-2019</c:v>
                </c:pt>
                <c:pt idx="67">
                  <c:v>08-Apr-2019</c:v>
                </c:pt>
                <c:pt idx="68">
                  <c:v>09-Apr-2019</c:v>
                </c:pt>
                <c:pt idx="69">
                  <c:v>10-Apr-2019</c:v>
                </c:pt>
                <c:pt idx="70">
                  <c:v>11-Apr-2019</c:v>
                </c:pt>
                <c:pt idx="71">
                  <c:v>12-Apr-2019</c:v>
                </c:pt>
                <c:pt idx="72">
                  <c:v>15-Apr-2019</c:v>
                </c:pt>
                <c:pt idx="73">
                  <c:v>16-Apr-2019</c:v>
                </c:pt>
                <c:pt idx="74">
                  <c:v>17-Apr-2019</c:v>
                </c:pt>
                <c:pt idx="75">
                  <c:v>18-Apr-2019</c:v>
                </c:pt>
                <c:pt idx="76">
                  <c:v>23-Apr-2019</c:v>
                </c:pt>
                <c:pt idx="77">
                  <c:v>24-Apr-2019</c:v>
                </c:pt>
                <c:pt idx="78">
                  <c:v>26-Apr-2019</c:v>
                </c:pt>
                <c:pt idx="79">
                  <c:v>29-Apr-2019</c:v>
                </c:pt>
                <c:pt idx="80">
                  <c:v>30-Apr-2019</c:v>
                </c:pt>
                <c:pt idx="81">
                  <c:v>01-May-2019</c:v>
                </c:pt>
                <c:pt idx="82">
                  <c:v>02-May-2019</c:v>
                </c:pt>
                <c:pt idx="83">
                  <c:v>03-May-2019</c:v>
                </c:pt>
                <c:pt idx="84">
                  <c:v>06-May-2019</c:v>
                </c:pt>
                <c:pt idx="85">
                  <c:v>07-May-2019</c:v>
                </c:pt>
                <c:pt idx="86">
                  <c:v>08-May-2019</c:v>
                </c:pt>
                <c:pt idx="87">
                  <c:v>09-May-2019</c:v>
                </c:pt>
                <c:pt idx="88">
                  <c:v>10-May-2019</c:v>
                </c:pt>
                <c:pt idx="89">
                  <c:v>13-May-2019</c:v>
                </c:pt>
                <c:pt idx="90">
                  <c:v>14-May-2019</c:v>
                </c:pt>
                <c:pt idx="91">
                  <c:v>15-May-2019</c:v>
                </c:pt>
                <c:pt idx="92">
                  <c:v>16-May-2019</c:v>
                </c:pt>
                <c:pt idx="93">
                  <c:v>17-May-2019</c:v>
                </c:pt>
                <c:pt idx="94">
                  <c:v>20-May-2019</c:v>
                </c:pt>
                <c:pt idx="95">
                  <c:v>21-May-2019</c:v>
                </c:pt>
                <c:pt idx="96">
                  <c:v>22-May-2019</c:v>
                </c:pt>
                <c:pt idx="97">
                  <c:v>23-May-2019</c:v>
                </c:pt>
                <c:pt idx="98">
                  <c:v>24-May-2019</c:v>
                </c:pt>
                <c:pt idx="99">
                  <c:v>27-May-2019</c:v>
                </c:pt>
                <c:pt idx="100">
                  <c:v>28-May-2019</c:v>
                </c:pt>
                <c:pt idx="101">
                  <c:v>29-May-2019</c:v>
                </c:pt>
                <c:pt idx="102">
                  <c:v>30-May-2019</c:v>
                </c:pt>
                <c:pt idx="103">
                  <c:v>31-May-2019</c:v>
                </c:pt>
                <c:pt idx="104">
                  <c:v>03-Jun-2019</c:v>
                </c:pt>
                <c:pt idx="105">
                  <c:v>04-Jun-2019</c:v>
                </c:pt>
                <c:pt idx="106">
                  <c:v>05-Jun-2019</c:v>
                </c:pt>
                <c:pt idx="107">
                  <c:v>06-Jun-2019</c:v>
                </c:pt>
                <c:pt idx="108">
                  <c:v>07-Jun-2019</c:v>
                </c:pt>
                <c:pt idx="109">
                  <c:v>11-Jun-2019</c:v>
                </c:pt>
                <c:pt idx="110">
                  <c:v>12-Jun-2019</c:v>
                </c:pt>
                <c:pt idx="111">
                  <c:v>13-Jun-2019</c:v>
                </c:pt>
                <c:pt idx="112">
                  <c:v>14-Jun-2019</c:v>
                </c:pt>
                <c:pt idx="113">
                  <c:v>17-Jun-2019</c:v>
                </c:pt>
                <c:pt idx="114">
                  <c:v>18-Jun-2019</c:v>
                </c:pt>
                <c:pt idx="115">
                  <c:v>19-Jun-2019</c:v>
                </c:pt>
                <c:pt idx="116">
                  <c:v>20-Jun-2019</c:v>
                </c:pt>
                <c:pt idx="117">
                  <c:v>21-Jun-2019</c:v>
                </c:pt>
                <c:pt idx="118">
                  <c:v>24-Jun-2019</c:v>
                </c:pt>
                <c:pt idx="119">
                  <c:v>25-Jun-2019</c:v>
                </c:pt>
                <c:pt idx="120">
                  <c:v>26-Jun-2019</c:v>
                </c:pt>
                <c:pt idx="121">
                  <c:v>27-Jun-2019</c:v>
                </c:pt>
                <c:pt idx="122">
                  <c:v>28-Jun-2019</c:v>
                </c:pt>
                <c:pt idx="123">
                  <c:v>01-Jul-2019</c:v>
                </c:pt>
                <c:pt idx="124">
                  <c:v>02-Jul-2019</c:v>
                </c:pt>
                <c:pt idx="125">
                  <c:v>03-Jul-2019</c:v>
                </c:pt>
                <c:pt idx="126">
                  <c:v>04-Jul-2019</c:v>
                </c:pt>
                <c:pt idx="127">
                  <c:v>05-Jul-2019</c:v>
                </c:pt>
                <c:pt idx="128">
                  <c:v>08-Jul-2019</c:v>
                </c:pt>
                <c:pt idx="129">
                  <c:v>09-Jul-2019</c:v>
                </c:pt>
                <c:pt idx="130">
                  <c:v>10-Jul-2019</c:v>
                </c:pt>
                <c:pt idx="131">
                  <c:v>11-Jul-2019</c:v>
                </c:pt>
                <c:pt idx="132">
                  <c:v>12-Jul-2019</c:v>
                </c:pt>
                <c:pt idx="133">
                  <c:v>15-Jul-2019</c:v>
                </c:pt>
                <c:pt idx="134">
                  <c:v>16-Jul-2019</c:v>
                </c:pt>
                <c:pt idx="135">
                  <c:v>17-Jul-2019</c:v>
                </c:pt>
                <c:pt idx="136">
                  <c:v>18-Jul-2019</c:v>
                </c:pt>
                <c:pt idx="137">
                  <c:v>19-Jul-2019</c:v>
                </c:pt>
                <c:pt idx="138">
                  <c:v>22-Jul-2019</c:v>
                </c:pt>
                <c:pt idx="139">
                  <c:v>23-Jul-2019</c:v>
                </c:pt>
                <c:pt idx="140">
                  <c:v>24-Jul-2019</c:v>
                </c:pt>
                <c:pt idx="141">
                  <c:v>25-Jul-2019</c:v>
                </c:pt>
                <c:pt idx="142">
                  <c:v>26-Jul-2019</c:v>
                </c:pt>
                <c:pt idx="143">
                  <c:v>29-Jul-2019</c:v>
                </c:pt>
                <c:pt idx="144">
                  <c:v>30-Jul-2019</c:v>
                </c:pt>
                <c:pt idx="145">
                  <c:v>31-Jul-2019</c:v>
                </c:pt>
                <c:pt idx="146">
                  <c:v>01-Aug-2019</c:v>
                </c:pt>
                <c:pt idx="147">
                  <c:v>02-Aug-2019</c:v>
                </c:pt>
                <c:pt idx="148">
                  <c:v>05-Aug-2019</c:v>
                </c:pt>
                <c:pt idx="149">
                  <c:v>06-Aug-2019</c:v>
                </c:pt>
                <c:pt idx="150">
                  <c:v>07-Aug-2019</c:v>
                </c:pt>
                <c:pt idx="151">
                  <c:v>08-Aug-2019</c:v>
                </c:pt>
                <c:pt idx="152">
                  <c:v>09-Aug-2019</c:v>
                </c:pt>
                <c:pt idx="153">
                  <c:v>12-Aug-2019</c:v>
                </c:pt>
                <c:pt idx="154">
                  <c:v>13-Aug-2019</c:v>
                </c:pt>
                <c:pt idx="155">
                  <c:v>14-Aug-2019</c:v>
                </c:pt>
                <c:pt idx="156">
                  <c:v>15-Aug-2019</c:v>
                </c:pt>
                <c:pt idx="157">
                  <c:v>16-Aug-2019</c:v>
                </c:pt>
                <c:pt idx="158">
                  <c:v>19-Aug-2019</c:v>
                </c:pt>
                <c:pt idx="159">
                  <c:v>20-Aug-2019</c:v>
                </c:pt>
                <c:pt idx="160">
                  <c:v>21-Aug-2019</c:v>
                </c:pt>
                <c:pt idx="161">
                  <c:v>22-Aug-2019</c:v>
                </c:pt>
                <c:pt idx="162">
                  <c:v>23-Aug-2019</c:v>
                </c:pt>
                <c:pt idx="163">
                  <c:v>26-Aug-2019</c:v>
                </c:pt>
                <c:pt idx="164">
                  <c:v>27-Aug-2019</c:v>
                </c:pt>
                <c:pt idx="165">
                  <c:v>28-Aug-2019</c:v>
                </c:pt>
                <c:pt idx="166">
                  <c:v>29-Aug-2019</c:v>
                </c:pt>
                <c:pt idx="167">
                  <c:v>30-Aug-2019</c:v>
                </c:pt>
                <c:pt idx="168">
                  <c:v>02-Sep-2019</c:v>
                </c:pt>
                <c:pt idx="169">
                  <c:v>03-Sep-2019</c:v>
                </c:pt>
                <c:pt idx="170">
                  <c:v>04-Sep-2019</c:v>
                </c:pt>
                <c:pt idx="171">
                  <c:v>05-Sep-2019</c:v>
                </c:pt>
                <c:pt idx="172">
                  <c:v>06-Sep-2019</c:v>
                </c:pt>
                <c:pt idx="173">
                  <c:v>09-Sep-2019</c:v>
                </c:pt>
                <c:pt idx="174">
                  <c:v>10-Sep-2019</c:v>
                </c:pt>
                <c:pt idx="175">
                  <c:v>11-Sep-2019</c:v>
                </c:pt>
                <c:pt idx="176">
                  <c:v>12-Sep-2019</c:v>
                </c:pt>
                <c:pt idx="177">
                  <c:v>13-Sep-2019</c:v>
                </c:pt>
                <c:pt idx="178">
                  <c:v>16-Sep-2019</c:v>
                </c:pt>
                <c:pt idx="179">
                  <c:v>17-Sep-2019</c:v>
                </c:pt>
                <c:pt idx="180">
                  <c:v>18-Sep-2019</c:v>
                </c:pt>
                <c:pt idx="181">
                  <c:v>19-Sep-2019</c:v>
                </c:pt>
                <c:pt idx="182">
                  <c:v>20-Sep-2019</c:v>
                </c:pt>
                <c:pt idx="183">
                  <c:v>23-Sep-2019</c:v>
                </c:pt>
                <c:pt idx="184">
                  <c:v>24-Sep-2019</c:v>
                </c:pt>
                <c:pt idx="185">
                  <c:v>25-Sep-2019</c:v>
                </c:pt>
                <c:pt idx="186">
                  <c:v>26-Sep-2019</c:v>
                </c:pt>
                <c:pt idx="187">
                  <c:v>27-Sep-2019</c:v>
                </c:pt>
                <c:pt idx="188">
                  <c:v>30-Sep-2019</c:v>
                </c:pt>
                <c:pt idx="189">
                  <c:v>01-Oct-2019</c:v>
                </c:pt>
                <c:pt idx="190">
                  <c:v>02-Oct-2019</c:v>
                </c:pt>
                <c:pt idx="191">
                  <c:v>03-Oct-2019</c:v>
                </c:pt>
                <c:pt idx="192">
                  <c:v>04-Oct-2019</c:v>
                </c:pt>
                <c:pt idx="193">
                  <c:v>08-Oct-2019</c:v>
                </c:pt>
                <c:pt idx="194">
                  <c:v>09-Oct-2019</c:v>
                </c:pt>
                <c:pt idx="195">
                  <c:v>10-Oct-2019</c:v>
                </c:pt>
                <c:pt idx="196">
                  <c:v>11-Oct-2019</c:v>
                </c:pt>
                <c:pt idx="197">
                  <c:v>14-Oct-2019</c:v>
                </c:pt>
                <c:pt idx="198">
                  <c:v>15-Oct-2019</c:v>
                </c:pt>
                <c:pt idx="199">
                  <c:v>16-Oct-2019</c:v>
                </c:pt>
                <c:pt idx="200">
                  <c:v>17-Oct-2019</c:v>
                </c:pt>
                <c:pt idx="201">
                  <c:v>18-Oct-2019</c:v>
                </c:pt>
                <c:pt idx="202">
                  <c:v>21-Oct-2019</c:v>
                </c:pt>
                <c:pt idx="203">
                  <c:v>22-Oct-2019</c:v>
                </c:pt>
                <c:pt idx="204">
                  <c:v>23-Oct-2019</c:v>
                </c:pt>
                <c:pt idx="205">
                  <c:v>24-Oct-2019</c:v>
                </c:pt>
                <c:pt idx="206">
                  <c:v>25-Oct-2019</c:v>
                </c:pt>
                <c:pt idx="207">
                  <c:v>28-Oct-2019</c:v>
                </c:pt>
                <c:pt idx="208">
                  <c:v>29-Oct-2019</c:v>
                </c:pt>
                <c:pt idx="209">
                  <c:v>30-Oct-2019</c:v>
                </c:pt>
                <c:pt idx="210">
                  <c:v>31-Oct-2019</c:v>
                </c:pt>
                <c:pt idx="211">
                  <c:v>01-Nov-2019</c:v>
                </c:pt>
                <c:pt idx="212">
                  <c:v>04-Nov-2019</c:v>
                </c:pt>
                <c:pt idx="213">
                  <c:v>05-Nov-2019</c:v>
                </c:pt>
                <c:pt idx="214">
                  <c:v>06-Nov-2019</c:v>
                </c:pt>
                <c:pt idx="215">
                  <c:v>07-Nov-2019</c:v>
                </c:pt>
                <c:pt idx="216">
                  <c:v>08-Nov-2019</c:v>
                </c:pt>
                <c:pt idx="217">
                  <c:v>11-Nov-2019</c:v>
                </c:pt>
                <c:pt idx="218">
                  <c:v>12-Nov-2019</c:v>
                </c:pt>
                <c:pt idx="219">
                  <c:v>13-Nov-2019</c:v>
                </c:pt>
                <c:pt idx="220">
                  <c:v>14-Nov-2019</c:v>
                </c:pt>
                <c:pt idx="221">
                  <c:v>15-Nov-2019</c:v>
                </c:pt>
                <c:pt idx="222">
                  <c:v>18-Nov-2019</c:v>
                </c:pt>
                <c:pt idx="223">
                  <c:v>19-Nov-2019</c:v>
                </c:pt>
                <c:pt idx="224">
                  <c:v>20-Nov-2019</c:v>
                </c:pt>
                <c:pt idx="225">
                  <c:v>21-Nov-2019</c:v>
                </c:pt>
                <c:pt idx="226">
                  <c:v>22-Nov-2019</c:v>
                </c:pt>
                <c:pt idx="227">
                  <c:v>25-Nov-2019</c:v>
                </c:pt>
                <c:pt idx="228">
                  <c:v>26-Nov-2019</c:v>
                </c:pt>
                <c:pt idx="229">
                  <c:v>27-Nov-2019</c:v>
                </c:pt>
                <c:pt idx="230">
                  <c:v>28-Nov-2019</c:v>
                </c:pt>
                <c:pt idx="231">
                  <c:v>29-Nov-2019</c:v>
                </c:pt>
                <c:pt idx="232">
                  <c:v>02-Dec-2019</c:v>
                </c:pt>
                <c:pt idx="233">
                  <c:v>03-Dec-2019</c:v>
                </c:pt>
                <c:pt idx="234">
                  <c:v>04-Dec-2019</c:v>
                </c:pt>
                <c:pt idx="235">
                  <c:v>05-Dec-2019</c:v>
                </c:pt>
                <c:pt idx="236">
                  <c:v>06-Dec-2019</c:v>
                </c:pt>
                <c:pt idx="237">
                  <c:v>09-Dec-2019</c:v>
                </c:pt>
                <c:pt idx="238">
                  <c:v>10-Dec-2019</c:v>
                </c:pt>
                <c:pt idx="239">
                  <c:v>11-Dec-2019</c:v>
                </c:pt>
                <c:pt idx="240">
                  <c:v>12-Dec-2019</c:v>
                </c:pt>
                <c:pt idx="241">
                  <c:v>13-Dec-2019</c:v>
                </c:pt>
                <c:pt idx="242">
                  <c:v>16-Dec-2019</c:v>
                </c:pt>
                <c:pt idx="243">
                  <c:v>17-Dec-2019</c:v>
                </c:pt>
                <c:pt idx="244">
                  <c:v>18-Dec-2019</c:v>
                </c:pt>
                <c:pt idx="245">
                  <c:v>19-Dec-2019</c:v>
                </c:pt>
                <c:pt idx="246">
                  <c:v>20-Dec-2019</c:v>
                </c:pt>
                <c:pt idx="247">
                  <c:v>23-Dec-2019</c:v>
                </c:pt>
                <c:pt idx="248">
                  <c:v>24-Dec-2019</c:v>
                </c:pt>
                <c:pt idx="249">
                  <c:v>27-Dec-2019</c:v>
                </c:pt>
                <c:pt idx="250">
                  <c:v>30-Dec-2019</c:v>
                </c:pt>
                <c:pt idx="251">
                  <c:v>31-Dec-2019</c:v>
                </c:pt>
                <c:pt idx="252">
                  <c:v>02-Jan-2020</c:v>
                </c:pt>
                <c:pt idx="253">
                  <c:v>03-Jan-2020</c:v>
                </c:pt>
                <c:pt idx="254">
                  <c:v>06-Jan-2020</c:v>
                </c:pt>
                <c:pt idx="255">
                  <c:v>07-Jan-2020</c:v>
                </c:pt>
                <c:pt idx="256">
                  <c:v>08-Jan-2020</c:v>
                </c:pt>
                <c:pt idx="257">
                  <c:v>09-Jan-2020</c:v>
                </c:pt>
                <c:pt idx="258">
                  <c:v>10-Jan-2020</c:v>
                </c:pt>
                <c:pt idx="259">
                  <c:v>13-Jan-2020</c:v>
                </c:pt>
                <c:pt idx="260">
                  <c:v>14-Jan-2020</c:v>
                </c:pt>
                <c:pt idx="261">
                  <c:v>15-Jan-2020</c:v>
                </c:pt>
                <c:pt idx="262">
                  <c:v>16-Jan-2020</c:v>
                </c:pt>
                <c:pt idx="263">
                  <c:v>17-Jan-2020</c:v>
                </c:pt>
                <c:pt idx="264">
                  <c:v>20-Jan-2020</c:v>
                </c:pt>
                <c:pt idx="265">
                  <c:v>21-Jan-2020</c:v>
                </c:pt>
                <c:pt idx="266">
                  <c:v>22-Jan-2020</c:v>
                </c:pt>
                <c:pt idx="267">
                  <c:v>23-Jan-2020</c:v>
                </c:pt>
                <c:pt idx="268">
                  <c:v>24-Jan-2020</c:v>
                </c:pt>
                <c:pt idx="269">
                  <c:v>28-Jan-2020</c:v>
                </c:pt>
                <c:pt idx="270">
                  <c:v>29-Jan-2020</c:v>
                </c:pt>
                <c:pt idx="271">
                  <c:v>30-Jan-2020</c:v>
                </c:pt>
                <c:pt idx="272">
                  <c:v>31-Jan-2020</c:v>
                </c:pt>
                <c:pt idx="273">
                  <c:v>03-Feb-2020</c:v>
                </c:pt>
                <c:pt idx="274">
                  <c:v>04-Feb-2020</c:v>
                </c:pt>
                <c:pt idx="275">
                  <c:v>05-Feb-2020</c:v>
                </c:pt>
                <c:pt idx="276">
                  <c:v>06-Feb-2020</c:v>
                </c:pt>
                <c:pt idx="277">
                  <c:v>07-Feb-2020</c:v>
                </c:pt>
                <c:pt idx="278">
                  <c:v>10-Feb-2020</c:v>
                </c:pt>
                <c:pt idx="279">
                  <c:v>11-Feb-2020</c:v>
                </c:pt>
                <c:pt idx="280">
                  <c:v>12-Feb-2020</c:v>
                </c:pt>
                <c:pt idx="281">
                  <c:v>13-Feb-2020</c:v>
                </c:pt>
                <c:pt idx="282">
                  <c:v>14-Feb-2020</c:v>
                </c:pt>
                <c:pt idx="283">
                  <c:v>17-Feb-2020</c:v>
                </c:pt>
                <c:pt idx="284">
                  <c:v>18-Feb-2020</c:v>
                </c:pt>
                <c:pt idx="285">
                  <c:v>19-Feb-2020</c:v>
                </c:pt>
                <c:pt idx="286">
                  <c:v>20-Feb-2020</c:v>
                </c:pt>
                <c:pt idx="287">
                  <c:v>21-Feb-2020</c:v>
                </c:pt>
                <c:pt idx="288">
                  <c:v>24-Feb-2020</c:v>
                </c:pt>
                <c:pt idx="289">
                  <c:v>25-Feb-2020</c:v>
                </c:pt>
                <c:pt idx="290">
                  <c:v>26-Feb-2020</c:v>
                </c:pt>
                <c:pt idx="291">
                  <c:v>27-Feb-2020</c:v>
                </c:pt>
                <c:pt idx="292">
                  <c:v>28-Feb-2020</c:v>
                </c:pt>
                <c:pt idx="293">
                  <c:v>02-Mar-2020</c:v>
                </c:pt>
                <c:pt idx="294">
                  <c:v>03-Mar-2020</c:v>
                </c:pt>
                <c:pt idx="295">
                  <c:v>04-Mar-2020</c:v>
                </c:pt>
                <c:pt idx="296">
                  <c:v>05-Mar-2020</c:v>
                </c:pt>
                <c:pt idx="297">
                  <c:v>06-Mar-2020</c:v>
                </c:pt>
                <c:pt idx="298">
                  <c:v>09-Mar-2020</c:v>
                </c:pt>
                <c:pt idx="299">
                  <c:v>10-Mar-2020</c:v>
                </c:pt>
                <c:pt idx="300">
                  <c:v>11-Mar-2020</c:v>
                </c:pt>
                <c:pt idx="301">
                  <c:v>12-Mar-2020</c:v>
                </c:pt>
                <c:pt idx="302">
                  <c:v>13-Mar-2020</c:v>
                </c:pt>
                <c:pt idx="303">
                  <c:v>16-Mar-2020</c:v>
                </c:pt>
                <c:pt idx="304">
                  <c:v>17-Mar-2020</c:v>
                </c:pt>
                <c:pt idx="305">
                  <c:v>18-Mar-2020</c:v>
                </c:pt>
                <c:pt idx="306">
                  <c:v>19-Mar-2020</c:v>
                </c:pt>
                <c:pt idx="307">
                  <c:v>20-Mar-2020</c:v>
                </c:pt>
                <c:pt idx="308">
                  <c:v>23-Mar-2020</c:v>
                </c:pt>
                <c:pt idx="309">
                  <c:v>24-Mar-2020</c:v>
                </c:pt>
                <c:pt idx="310">
                  <c:v>25-Mar-2020</c:v>
                </c:pt>
                <c:pt idx="311">
                  <c:v>26-Mar-2020</c:v>
                </c:pt>
                <c:pt idx="312">
                  <c:v>27-Mar-2020</c:v>
                </c:pt>
                <c:pt idx="313">
                  <c:v>30-Mar-2020</c:v>
                </c:pt>
                <c:pt idx="314">
                  <c:v>31-Mar-2020</c:v>
                </c:pt>
                <c:pt idx="315">
                  <c:v>01-Apr-2020</c:v>
                </c:pt>
                <c:pt idx="316">
                  <c:v>02-Apr-2020</c:v>
                </c:pt>
                <c:pt idx="317">
                  <c:v>03-Apr-2020</c:v>
                </c:pt>
                <c:pt idx="318">
                  <c:v>06-Apr-2020</c:v>
                </c:pt>
                <c:pt idx="319">
                  <c:v>07-Apr-2020</c:v>
                </c:pt>
                <c:pt idx="320">
                  <c:v>08-Apr-2020</c:v>
                </c:pt>
                <c:pt idx="321">
                  <c:v>09-Apr-2020</c:v>
                </c:pt>
                <c:pt idx="322">
                  <c:v>14-Apr-2020</c:v>
                </c:pt>
                <c:pt idx="323">
                  <c:v>15-Apr-2020</c:v>
                </c:pt>
                <c:pt idx="324">
                  <c:v>16-Apr-2020</c:v>
                </c:pt>
                <c:pt idx="325">
                  <c:v>17-Apr-2020</c:v>
                </c:pt>
                <c:pt idx="326">
                  <c:v>20-Apr-2020</c:v>
                </c:pt>
                <c:pt idx="327">
                  <c:v>21-Apr-2020</c:v>
                </c:pt>
                <c:pt idx="328">
                  <c:v>22-Apr-2020</c:v>
                </c:pt>
                <c:pt idx="329">
                  <c:v>23-Apr-2020</c:v>
                </c:pt>
                <c:pt idx="330">
                  <c:v>24-Apr-2020</c:v>
                </c:pt>
                <c:pt idx="331">
                  <c:v>27-Apr-2020</c:v>
                </c:pt>
                <c:pt idx="332">
                  <c:v>28-Apr-2020</c:v>
                </c:pt>
                <c:pt idx="333">
                  <c:v>29-Apr-2020</c:v>
                </c:pt>
                <c:pt idx="334">
                  <c:v>30-Apr-2020</c:v>
                </c:pt>
                <c:pt idx="335">
                  <c:v>01-May-2020</c:v>
                </c:pt>
                <c:pt idx="336">
                  <c:v>04-May-2020</c:v>
                </c:pt>
                <c:pt idx="337">
                  <c:v>05-May-2020</c:v>
                </c:pt>
                <c:pt idx="338">
                  <c:v>06-May-2020</c:v>
                </c:pt>
                <c:pt idx="339">
                  <c:v>07-May-2020</c:v>
                </c:pt>
                <c:pt idx="340">
                  <c:v>08-May-2020</c:v>
                </c:pt>
                <c:pt idx="341">
                  <c:v>11-May-2020</c:v>
                </c:pt>
                <c:pt idx="342">
                  <c:v>12-May-2020</c:v>
                </c:pt>
                <c:pt idx="343">
                  <c:v>13-May-2020</c:v>
                </c:pt>
                <c:pt idx="344">
                  <c:v>14-May-2020</c:v>
                </c:pt>
                <c:pt idx="345">
                  <c:v>15-May-2020</c:v>
                </c:pt>
                <c:pt idx="346">
                  <c:v>18-May-2020</c:v>
                </c:pt>
                <c:pt idx="347">
                  <c:v>19-May-2020</c:v>
                </c:pt>
                <c:pt idx="348">
                  <c:v>20-May-2020</c:v>
                </c:pt>
                <c:pt idx="349">
                  <c:v>21-May-2020</c:v>
                </c:pt>
                <c:pt idx="350">
                  <c:v>22-May-2020</c:v>
                </c:pt>
                <c:pt idx="351">
                  <c:v>25-May-2020</c:v>
                </c:pt>
                <c:pt idx="352">
                  <c:v>26-May-2020</c:v>
                </c:pt>
                <c:pt idx="353">
                  <c:v>27-May-2020</c:v>
                </c:pt>
                <c:pt idx="354">
                  <c:v>28-May-2020</c:v>
                </c:pt>
                <c:pt idx="355">
                  <c:v>29-May-2020</c:v>
                </c:pt>
                <c:pt idx="356">
                  <c:v>01-Jun-2020</c:v>
                </c:pt>
                <c:pt idx="357">
                  <c:v>02-Jun-2020</c:v>
                </c:pt>
                <c:pt idx="358">
                  <c:v>03-Jun-2020</c:v>
                </c:pt>
                <c:pt idx="359">
                  <c:v>04-Jun-2020</c:v>
                </c:pt>
                <c:pt idx="360">
                  <c:v>05-Jun-2020</c:v>
                </c:pt>
                <c:pt idx="361">
                  <c:v>09-Jun-2020</c:v>
                </c:pt>
                <c:pt idx="362">
                  <c:v>10-Jun-2020</c:v>
                </c:pt>
                <c:pt idx="363">
                  <c:v>11-Jun-2020</c:v>
                </c:pt>
                <c:pt idx="364">
                  <c:v>12-Jun-2020</c:v>
                </c:pt>
                <c:pt idx="365">
                  <c:v>15-Jun-2020</c:v>
                </c:pt>
                <c:pt idx="366">
                  <c:v>16-Jun-2020</c:v>
                </c:pt>
                <c:pt idx="367">
                  <c:v>17-Jun-2020</c:v>
                </c:pt>
                <c:pt idx="368">
                  <c:v>18-Jun-2020</c:v>
                </c:pt>
                <c:pt idx="369">
                  <c:v>19-Jun-2020</c:v>
                </c:pt>
                <c:pt idx="370">
                  <c:v>22-Jun-2020</c:v>
                </c:pt>
                <c:pt idx="371">
                  <c:v>23-Jun-2020</c:v>
                </c:pt>
                <c:pt idx="372">
                  <c:v>24-Jun-2020</c:v>
                </c:pt>
                <c:pt idx="373">
                  <c:v>25-Jun-2020</c:v>
                </c:pt>
                <c:pt idx="374">
                  <c:v>26-Jun-2020</c:v>
                </c:pt>
                <c:pt idx="375">
                  <c:v>29-Jun-2020</c:v>
                </c:pt>
                <c:pt idx="376">
                  <c:v>30-Jun-2020</c:v>
                </c:pt>
                <c:pt idx="377">
                  <c:v>01-Jul-2020</c:v>
                </c:pt>
                <c:pt idx="378">
                  <c:v>02-Jul-2020</c:v>
                </c:pt>
                <c:pt idx="379">
                  <c:v>03-Jul-2020</c:v>
                </c:pt>
                <c:pt idx="380">
                  <c:v>06-Jul-2020</c:v>
                </c:pt>
                <c:pt idx="381">
                  <c:v>07-Jul-2020</c:v>
                </c:pt>
                <c:pt idx="382">
                  <c:v>08-Jul-2020</c:v>
                </c:pt>
                <c:pt idx="383">
                  <c:v>09-Jul-2020</c:v>
                </c:pt>
                <c:pt idx="384">
                  <c:v>10-Jul-2020</c:v>
                </c:pt>
                <c:pt idx="385">
                  <c:v>13-Jul-2020</c:v>
                </c:pt>
                <c:pt idx="386">
                  <c:v>14-Jul-2020</c:v>
                </c:pt>
                <c:pt idx="387">
                  <c:v>15-Jul-2020</c:v>
                </c:pt>
                <c:pt idx="388">
                  <c:v>16-Jul-2020</c:v>
                </c:pt>
                <c:pt idx="389">
                  <c:v>17-Jul-2020</c:v>
                </c:pt>
                <c:pt idx="390">
                  <c:v>20-Jul-2020</c:v>
                </c:pt>
                <c:pt idx="391">
                  <c:v>21-Jul-2020</c:v>
                </c:pt>
                <c:pt idx="392">
                  <c:v>22-Jul-2020</c:v>
                </c:pt>
                <c:pt idx="393">
                  <c:v>23-Jul-2020</c:v>
                </c:pt>
                <c:pt idx="394">
                  <c:v>24-Jul-2020</c:v>
                </c:pt>
                <c:pt idx="395">
                  <c:v>27-Jul-2020</c:v>
                </c:pt>
                <c:pt idx="396">
                  <c:v>28-Jul-2020</c:v>
                </c:pt>
                <c:pt idx="397">
                  <c:v>29-Jul-2020</c:v>
                </c:pt>
                <c:pt idx="398">
                  <c:v>30-Jul-2020</c:v>
                </c:pt>
                <c:pt idx="399">
                  <c:v>31-Jul-2020</c:v>
                </c:pt>
                <c:pt idx="400">
                  <c:v>03-Aug-2020</c:v>
                </c:pt>
                <c:pt idx="401">
                  <c:v>04-Aug-2020</c:v>
                </c:pt>
                <c:pt idx="402">
                  <c:v>05-Aug-2020</c:v>
                </c:pt>
                <c:pt idx="403">
                  <c:v>06-Aug-2020</c:v>
                </c:pt>
                <c:pt idx="404">
                  <c:v>07-Aug-2020</c:v>
                </c:pt>
                <c:pt idx="405">
                  <c:v>10-Aug-2020</c:v>
                </c:pt>
                <c:pt idx="406">
                  <c:v>11-Aug-2020</c:v>
                </c:pt>
                <c:pt idx="407">
                  <c:v>12-Aug-2020</c:v>
                </c:pt>
                <c:pt idx="408">
                  <c:v>13-Aug-2020</c:v>
                </c:pt>
                <c:pt idx="409">
                  <c:v>14-Aug-2020</c:v>
                </c:pt>
                <c:pt idx="410">
                  <c:v>17-Aug-2020</c:v>
                </c:pt>
                <c:pt idx="411">
                  <c:v>18-Aug-2020</c:v>
                </c:pt>
                <c:pt idx="412">
                  <c:v>19-Aug-2020</c:v>
                </c:pt>
                <c:pt idx="413">
                  <c:v>20-Aug-2020</c:v>
                </c:pt>
                <c:pt idx="414">
                  <c:v>21-Aug-2020</c:v>
                </c:pt>
                <c:pt idx="415">
                  <c:v>24-Aug-2020</c:v>
                </c:pt>
                <c:pt idx="416">
                  <c:v>25-Aug-2020</c:v>
                </c:pt>
                <c:pt idx="417">
                  <c:v>26-Aug-2020</c:v>
                </c:pt>
                <c:pt idx="418">
                  <c:v>27-Aug-2020</c:v>
                </c:pt>
                <c:pt idx="419">
                  <c:v>28-Aug-2020</c:v>
                </c:pt>
                <c:pt idx="420">
                  <c:v>31-Aug-2020</c:v>
                </c:pt>
                <c:pt idx="421">
                  <c:v>01-Sep-2020</c:v>
                </c:pt>
                <c:pt idx="422">
                  <c:v>02-Sep-2020</c:v>
                </c:pt>
                <c:pt idx="423">
                  <c:v>03-Sep-2020</c:v>
                </c:pt>
                <c:pt idx="424">
                  <c:v>04-Sep-2020</c:v>
                </c:pt>
                <c:pt idx="425">
                  <c:v>07-Sep-2020</c:v>
                </c:pt>
                <c:pt idx="426">
                  <c:v>08-Sep-2020</c:v>
                </c:pt>
                <c:pt idx="427">
                  <c:v>09-Sep-2020</c:v>
                </c:pt>
                <c:pt idx="428">
                  <c:v>10-Sep-2020</c:v>
                </c:pt>
                <c:pt idx="429">
                  <c:v>11-Sep-2020</c:v>
                </c:pt>
                <c:pt idx="430">
                  <c:v>14-Sep-2020</c:v>
                </c:pt>
                <c:pt idx="431">
                  <c:v>15-Sep-2020</c:v>
                </c:pt>
                <c:pt idx="432">
                  <c:v>16-Sep-2020</c:v>
                </c:pt>
                <c:pt idx="433">
                  <c:v>17-Sep-2020</c:v>
                </c:pt>
                <c:pt idx="434">
                  <c:v>18-Sep-2020</c:v>
                </c:pt>
                <c:pt idx="435">
                  <c:v>21-Sep-2020</c:v>
                </c:pt>
                <c:pt idx="436">
                  <c:v>22-Sep-2020</c:v>
                </c:pt>
                <c:pt idx="437">
                  <c:v>23-Sep-2020</c:v>
                </c:pt>
                <c:pt idx="438">
                  <c:v>24-Sep-2020</c:v>
                </c:pt>
                <c:pt idx="439">
                  <c:v>25-Sep-2020</c:v>
                </c:pt>
                <c:pt idx="440">
                  <c:v>28-Sep-2020</c:v>
                </c:pt>
                <c:pt idx="441">
                  <c:v>29-Sep-2020</c:v>
                </c:pt>
                <c:pt idx="442">
                  <c:v>30-Sep-2020</c:v>
                </c:pt>
                <c:pt idx="443">
                  <c:v>01-Oct-2020</c:v>
                </c:pt>
                <c:pt idx="444">
                  <c:v>02-Oct-2020</c:v>
                </c:pt>
                <c:pt idx="445">
                  <c:v>06-Oct-2020</c:v>
                </c:pt>
                <c:pt idx="446">
                  <c:v>07-Oct-2020</c:v>
                </c:pt>
                <c:pt idx="447">
                  <c:v>08-Oct-2020</c:v>
                </c:pt>
                <c:pt idx="448">
                  <c:v>09-Oct-2020</c:v>
                </c:pt>
                <c:pt idx="449">
                  <c:v>12-Oct-2020</c:v>
                </c:pt>
                <c:pt idx="450">
                  <c:v>13-Oct-2020</c:v>
                </c:pt>
                <c:pt idx="451">
                  <c:v>14-Oct-2020</c:v>
                </c:pt>
                <c:pt idx="452">
                  <c:v>15-Oct-2020</c:v>
                </c:pt>
                <c:pt idx="453">
                  <c:v>16-Oct-2020</c:v>
                </c:pt>
                <c:pt idx="454">
                  <c:v>19-Oct-2020</c:v>
                </c:pt>
                <c:pt idx="455">
                  <c:v>20-Oct-2020</c:v>
                </c:pt>
                <c:pt idx="456">
                  <c:v>21-Oct-2020</c:v>
                </c:pt>
                <c:pt idx="457">
                  <c:v>22-Oct-2020</c:v>
                </c:pt>
                <c:pt idx="458">
                  <c:v>23-Oct-2020</c:v>
                </c:pt>
                <c:pt idx="459">
                  <c:v>26-Oct-2020</c:v>
                </c:pt>
                <c:pt idx="460">
                  <c:v>27-Oct-2020</c:v>
                </c:pt>
                <c:pt idx="461">
                  <c:v>28-Oct-2020</c:v>
                </c:pt>
                <c:pt idx="462">
                  <c:v>29-Oct-2020</c:v>
                </c:pt>
                <c:pt idx="463">
                  <c:v>30-Oct-2020</c:v>
                </c:pt>
                <c:pt idx="464">
                  <c:v>02-Nov-2020</c:v>
                </c:pt>
                <c:pt idx="465">
                  <c:v>03-Nov-2020</c:v>
                </c:pt>
                <c:pt idx="466">
                  <c:v>04-Nov-2020</c:v>
                </c:pt>
                <c:pt idx="467">
                  <c:v>05-Nov-2020</c:v>
                </c:pt>
                <c:pt idx="468">
                  <c:v>06-Nov-2020</c:v>
                </c:pt>
                <c:pt idx="469">
                  <c:v>09-Nov-2020</c:v>
                </c:pt>
                <c:pt idx="470">
                  <c:v>10-Nov-2020</c:v>
                </c:pt>
                <c:pt idx="471">
                  <c:v>11-Nov-2020</c:v>
                </c:pt>
                <c:pt idx="472">
                  <c:v>12-Nov-2020</c:v>
                </c:pt>
                <c:pt idx="473">
                  <c:v>13-Nov-2020</c:v>
                </c:pt>
                <c:pt idx="474">
                  <c:v>16-Nov-2020</c:v>
                </c:pt>
                <c:pt idx="475">
                  <c:v>17-Nov-2020</c:v>
                </c:pt>
                <c:pt idx="476">
                  <c:v>18-Nov-2020</c:v>
                </c:pt>
                <c:pt idx="477">
                  <c:v>19-Nov-2020</c:v>
                </c:pt>
                <c:pt idx="478">
                  <c:v>20-Nov-2020</c:v>
                </c:pt>
                <c:pt idx="479">
                  <c:v>23-Nov-2020</c:v>
                </c:pt>
                <c:pt idx="480">
                  <c:v>24-Nov-2020</c:v>
                </c:pt>
                <c:pt idx="481">
                  <c:v>25-Nov-2020</c:v>
                </c:pt>
                <c:pt idx="482">
                  <c:v>26-Nov-2020</c:v>
                </c:pt>
                <c:pt idx="483">
                  <c:v>27-Nov-2020</c:v>
                </c:pt>
                <c:pt idx="484">
                  <c:v>30-Nov-2020</c:v>
                </c:pt>
                <c:pt idx="485">
                  <c:v>01-Dec-2020</c:v>
                </c:pt>
                <c:pt idx="486">
                  <c:v>02-Dec-2020</c:v>
                </c:pt>
                <c:pt idx="487">
                  <c:v>03-Dec-2020</c:v>
                </c:pt>
                <c:pt idx="488">
                  <c:v>04-Dec-2020</c:v>
                </c:pt>
                <c:pt idx="489">
                  <c:v>07-Dec-2020</c:v>
                </c:pt>
                <c:pt idx="490">
                  <c:v>08-Dec-2020</c:v>
                </c:pt>
                <c:pt idx="491">
                  <c:v>09-Dec-2020</c:v>
                </c:pt>
                <c:pt idx="492">
                  <c:v>10-Dec-2020</c:v>
                </c:pt>
                <c:pt idx="493">
                  <c:v>11-Dec-2020</c:v>
                </c:pt>
                <c:pt idx="494">
                  <c:v>14-Dec-2020</c:v>
                </c:pt>
                <c:pt idx="495">
                  <c:v>15-Dec-2020</c:v>
                </c:pt>
                <c:pt idx="496">
                  <c:v>16-Dec-2020</c:v>
                </c:pt>
                <c:pt idx="497">
                  <c:v>17-Dec-2020</c:v>
                </c:pt>
                <c:pt idx="498">
                  <c:v>18-Dec-2020</c:v>
                </c:pt>
                <c:pt idx="499">
                  <c:v>21-Dec-2020</c:v>
                </c:pt>
                <c:pt idx="500">
                  <c:v>22-Dec-2020</c:v>
                </c:pt>
                <c:pt idx="501">
                  <c:v>23-Dec-2020</c:v>
                </c:pt>
                <c:pt idx="502">
                  <c:v>24-Dec-2020</c:v>
                </c:pt>
                <c:pt idx="503">
                  <c:v>29-Dec-2020</c:v>
                </c:pt>
                <c:pt idx="504">
                  <c:v>30-Dec-2020</c:v>
                </c:pt>
                <c:pt idx="505">
                  <c:v>31-Dec-2020</c:v>
                </c:pt>
                <c:pt idx="506">
                  <c:v>04-Jan-2021</c:v>
                </c:pt>
                <c:pt idx="507">
                  <c:v>05-Jan-2021</c:v>
                </c:pt>
                <c:pt idx="508">
                  <c:v>06-Jan-2021</c:v>
                </c:pt>
                <c:pt idx="509">
                  <c:v>07-Jan-2021</c:v>
                </c:pt>
                <c:pt idx="510">
                  <c:v>08-Jan-2021</c:v>
                </c:pt>
                <c:pt idx="511">
                  <c:v>11-Jan-2021</c:v>
                </c:pt>
                <c:pt idx="512">
                  <c:v>12-Jan-2021</c:v>
                </c:pt>
                <c:pt idx="513">
                  <c:v>13-Jan-2021</c:v>
                </c:pt>
                <c:pt idx="514">
                  <c:v>14-Jan-2021</c:v>
                </c:pt>
                <c:pt idx="515">
                  <c:v>15-Jan-2021</c:v>
                </c:pt>
                <c:pt idx="516">
                  <c:v>18-Jan-2021</c:v>
                </c:pt>
                <c:pt idx="517">
                  <c:v>19-Jan-2021</c:v>
                </c:pt>
                <c:pt idx="518">
                  <c:v>20-Jan-2021</c:v>
                </c:pt>
                <c:pt idx="519">
                  <c:v>21-Jan-2021</c:v>
                </c:pt>
                <c:pt idx="520">
                  <c:v>22-Jan-2021</c:v>
                </c:pt>
                <c:pt idx="521">
                  <c:v>25-Jan-2021</c:v>
                </c:pt>
                <c:pt idx="522">
                  <c:v>27-Jan-2021</c:v>
                </c:pt>
                <c:pt idx="523">
                  <c:v>28-Jan-2021</c:v>
                </c:pt>
                <c:pt idx="524">
                  <c:v>29-Jan-2021</c:v>
                </c:pt>
                <c:pt idx="525">
                  <c:v>01-Feb-2021</c:v>
                </c:pt>
                <c:pt idx="526">
                  <c:v>02-Feb-2021</c:v>
                </c:pt>
                <c:pt idx="527">
                  <c:v>03-Feb-2021</c:v>
                </c:pt>
                <c:pt idx="528">
                  <c:v>04-Feb-2021</c:v>
                </c:pt>
                <c:pt idx="529">
                  <c:v>05-Feb-2021</c:v>
                </c:pt>
                <c:pt idx="530">
                  <c:v>08-Feb-2021</c:v>
                </c:pt>
                <c:pt idx="531">
                  <c:v>09-Feb-2021</c:v>
                </c:pt>
                <c:pt idx="532">
                  <c:v>10-Feb-2021</c:v>
                </c:pt>
                <c:pt idx="533">
                  <c:v>11-Feb-2021</c:v>
                </c:pt>
                <c:pt idx="534">
                  <c:v>12-Feb-2021</c:v>
                </c:pt>
                <c:pt idx="535">
                  <c:v>15-Feb-2021</c:v>
                </c:pt>
                <c:pt idx="536">
                  <c:v>16-Feb-2021</c:v>
                </c:pt>
                <c:pt idx="537">
                  <c:v>17-Feb-2021</c:v>
                </c:pt>
                <c:pt idx="538">
                  <c:v>18-Feb-2021</c:v>
                </c:pt>
                <c:pt idx="539">
                  <c:v>19-Feb-2021</c:v>
                </c:pt>
                <c:pt idx="540">
                  <c:v>22-Feb-2021</c:v>
                </c:pt>
                <c:pt idx="541">
                  <c:v>23-Feb-2021</c:v>
                </c:pt>
                <c:pt idx="542">
                  <c:v>24-Feb-2021</c:v>
                </c:pt>
                <c:pt idx="543">
                  <c:v>25-Feb-2021</c:v>
                </c:pt>
                <c:pt idx="544">
                  <c:v>26-Feb-2021</c:v>
                </c:pt>
                <c:pt idx="545">
                  <c:v>01-Mar-2021</c:v>
                </c:pt>
                <c:pt idx="546">
                  <c:v>02-Mar-2021</c:v>
                </c:pt>
                <c:pt idx="547">
                  <c:v>03-Mar-2021</c:v>
                </c:pt>
                <c:pt idx="548">
                  <c:v>04-Mar-2021</c:v>
                </c:pt>
                <c:pt idx="549">
                  <c:v>05-Mar-2021</c:v>
                </c:pt>
                <c:pt idx="550">
                  <c:v>08-Mar-2021</c:v>
                </c:pt>
                <c:pt idx="551">
                  <c:v>09-Mar-2021</c:v>
                </c:pt>
                <c:pt idx="552">
                  <c:v>10-Mar-2021</c:v>
                </c:pt>
                <c:pt idx="553">
                  <c:v>11-Mar-2021</c:v>
                </c:pt>
                <c:pt idx="554">
                  <c:v>12-Mar-2021</c:v>
                </c:pt>
                <c:pt idx="555">
                  <c:v>15-Mar-2021</c:v>
                </c:pt>
                <c:pt idx="556">
                  <c:v>16-Mar-2021</c:v>
                </c:pt>
                <c:pt idx="557">
                  <c:v>17-Mar-2021</c:v>
                </c:pt>
                <c:pt idx="558">
                  <c:v>18-Mar-2021</c:v>
                </c:pt>
                <c:pt idx="559">
                  <c:v>19-Mar-2021</c:v>
                </c:pt>
                <c:pt idx="560">
                  <c:v>22-Mar-2021</c:v>
                </c:pt>
                <c:pt idx="561">
                  <c:v>23-Mar-2021</c:v>
                </c:pt>
                <c:pt idx="562">
                  <c:v>24-Mar-2021</c:v>
                </c:pt>
                <c:pt idx="563">
                  <c:v>25-Mar-2021</c:v>
                </c:pt>
                <c:pt idx="564">
                  <c:v>26-Mar-2021</c:v>
                </c:pt>
                <c:pt idx="565">
                  <c:v>29-Mar-2021</c:v>
                </c:pt>
                <c:pt idx="566">
                  <c:v>30-Mar-2021</c:v>
                </c:pt>
                <c:pt idx="567">
                  <c:v>31-Mar-2021</c:v>
                </c:pt>
                <c:pt idx="568">
                  <c:v>01-Apr-2021</c:v>
                </c:pt>
                <c:pt idx="569">
                  <c:v>06-Apr-2021</c:v>
                </c:pt>
                <c:pt idx="570">
                  <c:v>07-Apr-2021</c:v>
                </c:pt>
                <c:pt idx="571">
                  <c:v>08-Apr-2021</c:v>
                </c:pt>
                <c:pt idx="572">
                  <c:v>09-Apr-2021</c:v>
                </c:pt>
                <c:pt idx="573">
                  <c:v>12-Apr-2021</c:v>
                </c:pt>
                <c:pt idx="574">
                  <c:v>13-Apr-2021</c:v>
                </c:pt>
                <c:pt idx="575">
                  <c:v>14-Apr-2021</c:v>
                </c:pt>
                <c:pt idx="576">
                  <c:v>15-Apr-2021</c:v>
                </c:pt>
                <c:pt idx="577">
                  <c:v>16-Apr-2021</c:v>
                </c:pt>
                <c:pt idx="578">
                  <c:v>19-Apr-2021</c:v>
                </c:pt>
                <c:pt idx="579">
                  <c:v>20-Apr-2021</c:v>
                </c:pt>
                <c:pt idx="580">
                  <c:v>21-Apr-2021</c:v>
                </c:pt>
                <c:pt idx="581">
                  <c:v>22-Apr-2021</c:v>
                </c:pt>
                <c:pt idx="582">
                  <c:v>23-Apr-2021</c:v>
                </c:pt>
                <c:pt idx="583">
                  <c:v>26-Apr-2021</c:v>
                </c:pt>
                <c:pt idx="584">
                  <c:v>27-Apr-2021</c:v>
                </c:pt>
                <c:pt idx="585">
                  <c:v>28-Apr-2021</c:v>
                </c:pt>
                <c:pt idx="586">
                  <c:v>29-Apr-2021</c:v>
                </c:pt>
                <c:pt idx="587">
                  <c:v>30-Apr-2021</c:v>
                </c:pt>
                <c:pt idx="588">
                  <c:v>03-May-2021</c:v>
                </c:pt>
                <c:pt idx="589">
                  <c:v>04-May-2021</c:v>
                </c:pt>
                <c:pt idx="590">
                  <c:v>05-May-2021</c:v>
                </c:pt>
                <c:pt idx="591">
                  <c:v>06-May-2021</c:v>
                </c:pt>
                <c:pt idx="592">
                  <c:v>07-May-2021</c:v>
                </c:pt>
                <c:pt idx="593">
                  <c:v>10-May-2021</c:v>
                </c:pt>
                <c:pt idx="594">
                  <c:v>11-May-2021</c:v>
                </c:pt>
                <c:pt idx="595">
                  <c:v>12-May-2021</c:v>
                </c:pt>
                <c:pt idx="596">
                  <c:v>13-May-2021</c:v>
                </c:pt>
                <c:pt idx="597">
                  <c:v>14-May-2021</c:v>
                </c:pt>
                <c:pt idx="598">
                  <c:v>17-May-2021</c:v>
                </c:pt>
                <c:pt idx="599">
                  <c:v>18-May-2021</c:v>
                </c:pt>
                <c:pt idx="600">
                  <c:v>19-May-2021</c:v>
                </c:pt>
                <c:pt idx="601">
                  <c:v>20-May-2021</c:v>
                </c:pt>
                <c:pt idx="602">
                  <c:v>21-May-2021</c:v>
                </c:pt>
                <c:pt idx="603">
                  <c:v>24-May-2021</c:v>
                </c:pt>
                <c:pt idx="604">
                  <c:v>25-May-2021</c:v>
                </c:pt>
                <c:pt idx="605">
                  <c:v>26-May-2021</c:v>
                </c:pt>
                <c:pt idx="606">
                  <c:v>27-May-2021</c:v>
                </c:pt>
                <c:pt idx="607">
                  <c:v>28-May-2021</c:v>
                </c:pt>
                <c:pt idx="608">
                  <c:v>31-May-2021</c:v>
                </c:pt>
                <c:pt idx="609">
                  <c:v>01-Jun-2021</c:v>
                </c:pt>
                <c:pt idx="610">
                  <c:v>02-Jun-2021</c:v>
                </c:pt>
                <c:pt idx="611">
                  <c:v>03-Jun-2021</c:v>
                </c:pt>
                <c:pt idx="612">
                  <c:v>04-Jun-2021</c:v>
                </c:pt>
                <c:pt idx="613">
                  <c:v>07-Jun-2021</c:v>
                </c:pt>
                <c:pt idx="614">
                  <c:v>08-Jun-2021</c:v>
                </c:pt>
                <c:pt idx="615">
                  <c:v>09-Jun-2021</c:v>
                </c:pt>
                <c:pt idx="616">
                  <c:v>10-Jun-2021</c:v>
                </c:pt>
                <c:pt idx="617">
                  <c:v>11-Jun-2021</c:v>
                </c:pt>
                <c:pt idx="618">
                  <c:v>15-Jun-2021</c:v>
                </c:pt>
                <c:pt idx="619">
                  <c:v>16-Jun-2021</c:v>
                </c:pt>
                <c:pt idx="620">
                  <c:v>17-Jun-2021</c:v>
                </c:pt>
                <c:pt idx="621">
                  <c:v>18-Jun-2021</c:v>
                </c:pt>
                <c:pt idx="622">
                  <c:v>21-Jun-2021</c:v>
                </c:pt>
                <c:pt idx="623">
                  <c:v>22-Jun-2021</c:v>
                </c:pt>
                <c:pt idx="624">
                  <c:v>23-Jun-2021</c:v>
                </c:pt>
                <c:pt idx="625">
                  <c:v>24-Jun-2021</c:v>
                </c:pt>
                <c:pt idx="626">
                  <c:v>25-Jun-2021</c:v>
                </c:pt>
                <c:pt idx="627">
                  <c:v>28-Jun-2021</c:v>
                </c:pt>
                <c:pt idx="628">
                  <c:v>29-Jun-2021</c:v>
                </c:pt>
                <c:pt idx="629">
                  <c:v>30-Jun-2021</c:v>
                </c:pt>
                <c:pt idx="630">
                  <c:v>01-Jul-2021</c:v>
                </c:pt>
                <c:pt idx="631">
                  <c:v>02-Jul-2021</c:v>
                </c:pt>
                <c:pt idx="632">
                  <c:v>05-Jul-2021</c:v>
                </c:pt>
                <c:pt idx="633">
                  <c:v>06-Jul-2021</c:v>
                </c:pt>
                <c:pt idx="634">
                  <c:v>07-Jul-2021</c:v>
                </c:pt>
                <c:pt idx="635">
                  <c:v>08-Jul-2021</c:v>
                </c:pt>
                <c:pt idx="636">
                  <c:v>09-Jul-2021</c:v>
                </c:pt>
                <c:pt idx="637">
                  <c:v>12-Jul-2021</c:v>
                </c:pt>
                <c:pt idx="638">
                  <c:v>13-Jul-2021</c:v>
                </c:pt>
                <c:pt idx="639">
                  <c:v>14-Jul-2021</c:v>
                </c:pt>
                <c:pt idx="640">
                  <c:v>15-Jul-2021</c:v>
                </c:pt>
                <c:pt idx="641">
                  <c:v>16-Jul-2021</c:v>
                </c:pt>
                <c:pt idx="642">
                  <c:v>19-Jul-2021</c:v>
                </c:pt>
                <c:pt idx="643">
                  <c:v>20-Jul-2021</c:v>
                </c:pt>
                <c:pt idx="644">
                  <c:v>21-Jul-2021</c:v>
                </c:pt>
                <c:pt idx="645">
                  <c:v>22-Jul-2021</c:v>
                </c:pt>
                <c:pt idx="646">
                  <c:v>23-Jul-2021</c:v>
                </c:pt>
                <c:pt idx="647">
                  <c:v>26-Jul-2021</c:v>
                </c:pt>
                <c:pt idx="648">
                  <c:v>27-Jul-2021</c:v>
                </c:pt>
                <c:pt idx="649">
                  <c:v>28-Jul-2021</c:v>
                </c:pt>
                <c:pt idx="650">
                  <c:v>29-Jul-2021</c:v>
                </c:pt>
                <c:pt idx="651">
                  <c:v>30-Jul-2021</c:v>
                </c:pt>
                <c:pt idx="652">
                  <c:v>03-Aug-2021</c:v>
                </c:pt>
                <c:pt idx="653">
                  <c:v>04-Aug-2021</c:v>
                </c:pt>
                <c:pt idx="654">
                  <c:v>05-Aug-2021</c:v>
                </c:pt>
                <c:pt idx="655">
                  <c:v>06-Aug-2021</c:v>
                </c:pt>
                <c:pt idx="656">
                  <c:v>09-Aug-2021</c:v>
                </c:pt>
                <c:pt idx="657">
                  <c:v>10-Aug-2021</c:v>
                </c:pt>
                <c:pt idx="658">
                  <c:v>11-Aug-2021</c:v>
                </c:pt>
                <c:pt idx="659">
                  <c:v>12-Aug-2021</c:v>
                </c:pt>
                <c:pt idx="660">
                  <c:v>13-Aug-2021</c:v>
                </c:pt>
                <c:pt idx="661">
                  <c:v>16-Aug-2021</c:v>
                </c:pt>
                <c:pt idx="662">
                  <c:v>17-Aug-2021</c:v>
                </c:pt>
                <c:pt idx="663">
                  <c:v>18-Aug-2021</c:v>
                </c:pt>
                <c:pt idx="664">
                  <c:v>19-Aug-2021</c:v>
                </c:pt>
                <c:pt idx="665">
                  <c:v>20-Aug-2021</c:v>
                </c:pt>
                <c:pt idx="666">
                  <c:v>23-Aug-2021</c:v>
                </c:pt>
                <c:pt idx="667">
                  <c:v>24-Aug-2021</c:v>
                </c:pt>
                <c:pt idx="668">
                  <c:v>25-Aug-2021</c:v>
                </c:pt>
                <c:pt idx="669">
                  <c:v>26-Aug-2021</c:v>
                </c:pt>
                <c:pt idx="670">
                  <c:v>27-Aug-2021</c:v>
                </c:pt>
                <c:pt idx="671">
                  <c:v>30-Aug-2021</c:v>
                </c:pt>
                <c:pt idx="672">
                  <c:v>31-Aug-2021</c:v>
                </c:pt>
                <c:pt idx="673">
                  <c:v>01-Sep-2021</c:v>
                </c:pt>
                <c:pt idx="674">
                  <c:v>02-Sep-2021</c:v>
                </c:pt>
                <c:pt idx="675">
                  <c:v>03-Sep-2021</c:v>
                </c:pt>
                <c:pt idx="676">
                  <c:v>06-Sep-2021</c:v>
                </c:pt>
                <c:pt idx="677">
                  <c:v>07-Sep-2021</c:v>
                </c:pt>
                <c:pt idx="678">
                  <c:v>08-Sep-2021</c:v>
                </c:pt>
                <c:pt idx="679">
                  <c:v>09-Sep-2021</c:v>
                </c:pt>
                <c:pt idx="680">
                  <c:v>10-Sep-2021</c:v>
                </c:pt>
                <c:pt idx="681">
                  <c:v>13-Sep-2021</c:v>
                </c:pt>
                <c:pt idx="682">
                  <c:v>14-Sep-2021</c:v>
                </c:pt>
                <c:pt idx="683">
                  <c:v>15-Sep-2021</c:v>
                </c:pt>
                <c:pt idx="684">
                  <c:v>16-Sep-2021</c:v>
                </c:pt>
                <c:pt idx="685">
                  <c:v>17-Sep-2021</c:v>
                </c:pt>
                <c:pt idx="686">
                  <c:v>20-Sep-2021</c:v>
                </c:pt>
                <c:pt idx="687">
                  <c:v>21-Sep-2021</c:v>
                </c:pt>
                <c:pt idx="688">
                  <c:v>22-Sep-2021</c:v>
                </c:pt>
                <c:pt idx="689">
                  <c:v>23-Sep-2021</c:v>
                </c:pt>
                <c:pt idx="690">
                  <c:v>24-Sep-2021</c:v>
                </c:pt>
                <c:pt idx="691">
                  <c:v>27-Sep-2021</c:v>
                </c:pt>
                <c:pt idx="692">
                  <c:v>28-Sep-2021</c:v>
                </c:pt>
                <c:pt idx="693">
                  <c:v>29-Sep-2021</c:v>
                </c:pt>
                <c:pt idx="694">
                  <c:v>30-Sep-2021</c:v>
                </c:pt>
                <c:pt idx="695">
                  <c:v>01-Oct-2021</c:v>
                </c:pt>
                <c:pt idx="696">
                  <c:v>05-Oct-2021</c:v>
                </c:pt>
                <c:pt idx="697">
                  <c:v>06-Oct-2021</c:v>
                </c:pt>
                <c:pt idx="698">
                  <c:v>07-Oct-2021</c:v>
                </c:pt>
                <c:pt idx="699">
                  <c:v>08-Oct-2021</c:v>
                </c:pt>
                <c:pt idx="700">
                  <c:v>11-Oct-2021</c:v>
                </c:pt>
                <c:pt idx="701">
                  <c:v>12-Oct-2021</c:v>
                </c:pt>
                <c:pt idx="702">
                  <c:v>13-Oct-2021</c:v>
                </c:pt>
                <c:pt idx="703">
                  <c:v>14-Oct-2021</c:v>
                </c:pt>
                <c:pt idx="704">
                  <c:v>15-Oct-2021</c:v>
                </c:pt>
                <c:pt idx="705">
                  <c:v>18-Oct-2021</c:v>
                </c:pt>
                <c:pt idx="706">
                  <c:v>19-Oct-2021</c:v>
                </c:pt>
                <c:pt idx="707">
                  <c:v>20-Oct-2021</c:v>
                </c:pt>
                <c:pt idx="708">
                  <c:v>21-Oct-2021</c:v>
                </c:pt>
                <c:pt idx="709">
                  <c:v>22-Oct-2021</c:v>
                </c:pt>
                <c:pt idx="710">
                  <c:v>25-Oct-2021</c:v>
                </c:pt>
                <c:pt idx="711">
                  <c:v>26-Oct-2021</c:v>
                </c:pt>
                <c:pt idx="712">
                  <c:v>27-Oct-2021</c:v>
                </c:pt>
                <c:pt idx="713">
                  <c:v>28-Oct-2021</c:v>
                </c:pt>
                <c:pt idx="714">
                  <c:v>29-Oct-2021</c:v>
                </c:pt>
                <c:pt idx="715">
                  <c:v>01-Nov-2021</c:v>
                </c:pt>
                <c:pt idx="716">
                  <c:v>02-Nov-2021</c:v>
                </c:pt>
                <c:pt idx="717">
                  <c:v>03-Nov-2021</c:v>
                </c:pt>
                <c:pt idx="718">
                  <c:v>04-Nov-2021</c:v>
                </c:pt>
                <c:pt idx="719">
                  <c:v>05-Nov-2021</c:v>
                </c:pt>
                <c:pt idx="720">
                  <c:v>08-Nov-2021</c:v>
                </c:pt>
                <c:pt idx="721">
                  <c:v>09-Nov-2021</c:v>
                </c:pt>
                <c:pt idx="722">
                  <c:v>10-Nov-2021</c:v>
                </c:pt>
                <c:pt idx="723">
                  <c:v>11-Nov-2021</c:v>
                </c:pt>
                <c:pt idx="724">
                  <c:v>12-Nov-2021</c:v>
                </c:pt>
                <c:pt idx="725">
                  <c:v>15-Nov-2021</c:v>
                </c:pt>
                <c:pt idx="726">
                  <c:v>16-Nov-2021</c:v>
                </c:pt>
                <c:pt idx="727">
                  <c:v>17-Nov-2021</c:v>
                </c:pt>
                <c:pt idx="728">
                  <c:v>18-Nov-2021</c:v>
                </c:pt>
                <c:pt idx="729">
                  <c:v>19-Nov-2021</c:v>
                </c:pt>
                <c:pt idx="730">
                  <c:v>22-Nov-2021</c:v>
                </c:pt>
                <c:pt idx="731">
                  <c:v>23-Nov-2021</c:v>
                </c:pt>
                <c:pt idx="732">
                  <c:v>24-Nov-2021</c:v>
                </c:pt>
                <c:pt idx="733">
                  <c:v>25-Nov-2021</c:v>
                </c:pt>
                <c:pt idx="734">
                  <c:v>26-Nov-2021</c:v>
                </c:pt>
                <c:pt idx="735">
                  <c:v>29-Nov-2021</c:v>
                </c:pt>
                <c:pt idx="736">
                  <c:v>30-Nov-2021</c:v>
                </c:pt>
                <c:pt idx="737">
                  <c:v>01-Dec-2021</c:v>
                </c:pt>
                <c:pt idx="738">
                  <c:v>02-Dec-2021</c:v>
                </c:pt>
                <c:pt idx="739">
                  <c:v>03-Dec-2021</c:v>
                </c:pt>
                <c:pt idx="740">
                  <c:v>06-Dec-2021</c:v>
                </c:pt>
                <c:pt idx="741">
                  <c:v>07-Dec-2021</c:v>
                </c:pt>
                <c:pt idx="742">
                  <c:v>08-Dec-2021</c:v>
                </c:pt>
                <c:pt idx="743">
                  <c:v>09-Dec-2021</c:v>
                </c:pt>
                <c:pt idx="744">
                  <c:v>10-Dec-2021</c:v>
                </c:pt>
                <c:pt idx="745">
                  <c:v>13-Dec-2021</c:v>
                </c:pt>
                <c:pt idx="746">
                  <c:v>14-Dec-2021</c:v>
                </c:pt>
                <c:pt idx="747">
                  <c:v>15-Dec-2021</c:v>
                </c:pt>
                <c:pt idx="748">
                  <c:v>16-Dec-2021</c:v>
                </c:pt>
                <c:pt idx="749">
                  <c:v>17-Dec-2021</c:v>
                </c:pt>
                <c:pt idx="750">
                  <c:v>20-Dec-2021</c:v>
                </c:pt>
                <c:pt idx="751">
                  <c:v>21-Dec-2021</c:v>
                </c:pt>
                <c:pt idx="752">
                  <c:v>22-Dec-2021</c:v>
                </c:pt>
                <c:pt idx="753">
                  <c:v>23-Dec-2021</c:v>
                </c:pt>
                <c:pt idx="754">
                  <c:v>24-Dec-2021</c:v>
                </c:pt>
                <c:pt idx="755">
                  <c:v>29-Dec-2021</c:v>
                </c:pt>
                <c:pt idx="756">
                  <c:v>30-Dec-2021</c:v>
                </c:pt>
                <c:pt idx="757">
                  <c:v>31-Dec-2021</c:v>
                </c:pt>
                <c:pt idx="758">
                  <c:v>04-Jan-2022</c:v>
                </c:pt>
                <c:pt idx="759">
                  <c:v>05-Jan-2022</c:v>
                </c:pt>
                <c:pt idx="760">
                  <c:v>06-Jan-2022</c:v>
                </c:pt>
                <c:pt idx="761">
                  <c:v>07-Jan-2022</c:v>
                </c:pt>
                <c:pt idx="762">
                  <c:v>10-Jan-2022</c:v>
                </c:pt>
                <c:pt idx="763">
                  <c:v>11-Jan-2022</c:v>
                </c:pt>
                <c:pt idx="764">
                  <c:v>12-Jan-2022</c:v>
                </c:pt>
                <c:pt idx="765">
                  <c:v>13-Jan-2022</c:v>
                </c:pt>
                <c:pt idx="766">
                  <c:v>14-Jan-2022</c:v>
                </c:pt>
                <c:pt idx="767">
                  <c:v>17-Jan-2022</c:v>
                </c:pt>
                <c:pt idx="768">
                  <c:v>18-Jan-2022</c:v>
                </c:pt>
                <c:pt idx="769">
                  <c:v>19-Jan-2022</c:v>
                </c:pt>
                <c:pt idx="770">
                  <c:v>20-Jan-2022</c:v>
                </c:pt>
                <c:pt idx="771">
                  <c:v>21-Jan-2022</c:v>
                </c:pt>
                <c:pt idx="772">
                  <c:v>24-Jan-2022</c:v>
                </c:pt>
                <c:pt idx="773">
                  <c:v>25-Jan-2022</c:v>
                </c:pt>
                <c:pt idx="774">
                  <c:v>27-Jan-2022</c:v>
                </c:pt>
                <c:pt idx="775">
                  <c:v>28-Jan-2022</c:v>
                </c:pt>
                <c:pt idx="776">
                  <c:v>31-Jan-2022</c:v>
                </c:pt>
                <c:pt idx="777">
                  <c:v>01-Feb-2022</c:v>
                </c:pt>
                <c:pt idx="778">
                  <c:v>02-Feb-2022</c:v>
                </c:pt>
                <c:pt idx="779">
                  <c:v>03-Feb-2022</c:v>
                </c:pt>
                <c:pt idx="780">
                  <c:v>04-Feb-2022</c:v>
                </c:pt>
                <c:pt idx="781">
                  <c:v>07-Feb-2022</c:v>
                </c:pt>
                <c:pt idx="782">
                  <c:v>08-Feb-2022</c:v>
                </c:pt>
                <c:pt idx="783">
                  <c:v>09-Feb-2022</c:v>
                </c:pt>
                <c:pt idx="784">
                  <c:v>10-Feb-2022</c:v>
                </c:pt>
                <c:pt idx="785">
                  <c:v>11-Feb-2022</c:v>
                </c:pt>
                <c:pt idx="786">
                  <c:v>14-Feb-2022</c:v>
                </c:pt>
                <c:pt idx="787">
                  <c:v>15-Feb-2022</c:v>
                </c:pt>
                <c:pt idx="788">
                  <c:v>16-Feb-2022</c:v>
                </c:pt>
                <c:pt idx="789">
                  <c:v>17-Feb-2022</c:v>
                </c:pt>
                <c:pt idx="790">
                  <c:v>18-Feb-2022</c:v>
                </c:pt>
                <c:pt idx="791">
                  <c:v>21-Feb-2022</c:v>
                </c:pt>
                <c:pt idx="792">
                  <c:v>22-Feb-2022</c:v>
                </c:pt>
                <c:pt idx="793">
                  <c:v>23-Feb-2022</c:v>
                </c:pt>
                <c:pt idx="794">
                  <c:v>24-Feb-2022</c:v>
                </c:pt>
                <c:pt idx="795">
                  <c:v>25-Feb-2022</c:v>
                </c:pt>
                <c:pt idx="796">
                  <c:v>28-Feb-2022</c:v>
                </c:pt>
                <c:pt idx="797">
                  <c:v>01-Mar-2022</c:v>
                </c:pt>
                <c:pt idx="798">
                  <c:v>02-Mar-2022</c:v>
                </c:pt>
                <c:pt idx="799">
                  <c:v>03-Mar-2022</c:v>
                </c:pt>
                <c:pt idx="800">
                  <c:v>04-Mar-2022</c:v>
                </c:pt>
                <c:pt idx="801">
                  <c:v>07-Mar-2022</c:v>
                </c:pt>
                <c:pt idx="802">
                  <c:v>08-Mar-2022</c:v>
                </c:pt>
                <c:pt idx="803">
                  <c:v>09-Mar-2022</c:v>
                </c:pt>
                <c:pt idx="804">
                  <c:v>10-Mar-2022</c:v>
                </c:pt>
                <c:pt idx="805">
                  <c:v>11-Mar-2022</c:v>
                </c:pt>
                <c:pt idx="806">
                  <c:v>14-Mar-2022</c:v>
                </c:pt>
                <c:pt idx="807">
                  <c:v>15-Mar-2022</c:v>
                </c:pt>
                <c:pt idx="808">
                  <c:v>16-Mar-2022</c:v>
                </c:pt>
                <c:pt idx="809">
                  <c:v>17-Mar-2022</c:v>
                </c:pt>
                <c:pt idx="810">
                  <c:v>18-Mar-2022</c:v>
                </c:pt>
                <c:pt idx="811">
                  <c:v>21-Mar-2022</c:v>
                </c:pt>
                <c:pt idx="812">
                  <c:v>22-Mar-2022</c:v>
                </c:pt>
                <c:pt idx="813">
                  <c:v>23-Mar-2022</c:v>
                </c:pt>
                <c:pt idx="814">
                  <c:v>24-Mar-2022</c:v>
                </c:pt>
                <c:pt idx="815">
                  <c:v>25-Mar-2022</c:v>
                </c:pt>
                <c:pt idx="816">
                  <c:v>28-Mar-2022</c:v>
                </c:pt>
                <c:pt idx="817">
                  <c:v>29-Mar-2022</c:v>
                </c:pt>
                <c:pt idx="818">
                  <c:v>30-Mar-2022</c:v>
                </c:pt>
                <c:pt idx="819">
                  <c:v>31-Mar-2022</c:v>
                </c:pt>
                <c:pt idx="820">
                  <c:v>01-Apr-2022</c:v>
                </c:pt>
                <c:pt idx="821">
                  <c:v>04-Apr-2022</c:v>
                </c:pt>
                <c:pt idx="822">
                  <c:v>05-Apr-2022</c:v>
                </c:pt>
                <c:pt idx="823">
                  <c:v>06-Apr-2022</c:v>
                </c:pt>
                <c:pt idx="824">
                  <c:v>07-Apr-2022</c:v>
                </c:pt>
                <c:pt idx="825">
                  <c:v>08-Apr-2022</c:v>
                </c:pt>
                <c:pt idx="826">
                  <c:v>11-Apr-2022</c:v>
                </c:pt>
                <c:pt idx="827">
                  <c:v>12-Apr-2022</c:v>
                </c:pt>
                <c:pt idx="828">
                  <c:v>13-Apr-2022</c:v>
                </c:pt>
                <c:pt idx="829">
                  <c:v>14-Apr-2022</c:v>
                </c:pt>
                <c:pt idx="830">
                  <c:v>19-Apr-2022</c:v>
                </c:pt>
                <c:pt idx="831">
                  <c:v>20-Apr-2022</c:v>
                </c:pt>
                <c:pt idx="832">
                  <c:v>21-Apr-2022</c:v>
                </c:pt>
                <c:pt idx="833">
                  <c:v>22-Apr-2022</c:v>
                </c:pt>
                <c:pt idx="834">
                  <c:v>26-Apr-2022</c:v>
                </c:pt>
                <c:pt idx="835">
                  <c:v>27-Apr-2022</c:v>
                </c:pt>
                <c:pt idx="836">
                  <c:v>28-Apr-2022</c:v>
                </c:pt>
                <c:pt idx="837">
                  <c:v>29-Apr-2022</c:v>
                </c:pt>
                <c:pt idx="838">
                  <c:v>02-May-2022</c:v>
                </c:pt>
                <c:pt idx="839">
                  <c:v>03-May-2022</c:v>
                </c:pt>
                <c:pt idx="840">
                  <c:v>04-May-2022</c:v>
                </c:pt>
                <c:pt idx="841">
                  <c:v>05-May-2022</c:v>
                </c:pt>
                <c:pt idx="842">
                  <c:v>06-May-2022</c:v>
                </c:pt>
                <c:pt idx="843">
                  <c:v>09-May-2022</c:v>
                </c:pt>
                <c:pt idx="844">
                  <c:v>10-May-2022</c:v>
                </c:pt>
                <c:pt idx="845">
                  <c:v>11-May-2022</c:v>
                </c:pt>
                <c:pt idx="846">
                  <c:v>12-May-2022</c:v>
                </c:pt>
                <c:pt idx="847">
                  <c:v>13-May-2022</c:v>
                </c:pt>
                <c:pt idx="848">
                  <c:v>16-May-2022</c:v>
                </c:pt>
                <c:pt idx="849">
                  <c:v>17-May-2022</c:v>
                </c:pt>
                <c:pt idx="850">
                  <c:v>18-May-2022</c:v>
                </c:pt>
                <c:pt idx="851">
                  <c:v>19-May-2022</c:v>
                </c:pt>
                <c:pt idx="852">
                  <c:v>20-May-2022</c:v>
                </c:pt>
                <c:pt idx="853">
                  <c:v>23-May-2022</c:v>
                </c:pt>
                <c:pt idx="854">
                  <c:v>24-May-2022</c:v>
                </c:pt>
                <c:pt idx="855">
                  <c:v>25-May-2022</c:v>
                </c:pt>
                <c:pt idx="856">
                  <c:v>26-May-2022</c:v>
                </c:pt>
                <c:pt idx="857">
                  <c:v>27-May-2022</c:v>
                </c:pt>
                <c:pt idx="858">
                  <c:v>30-May-2022</c:v>
                </c:pt>
                <c:pt idx="859">
                  <c:v>31-May-2022</c:v>
                </c:pt>
                <c:pt idx="860">
                  <c:v>01-Jun-2022</c:v>
                </c:pt>
                <c:pt idx="861">
                  <c:v>02-Jun-2022</c:v>
                </c:pt>
                <c:pt idx="862">
                  <c:v>03-Jun-2022</c:v>
                </c:pt>
                <c:pt idx="863">
                  <c:v>06-Jun-2022</c:v>
                </c:pt>
                <c:pt idx="864">
                  <c:v>07-Jun-2022</c:v>
                </c:pt>
                <c:pt idx="865">
                  <c:v>08-Jun-2022</c:v>
                </c:pt>
                <c:pt idx="866">
                  <c:v>09-Jun-2022</c:v>
                </c:pt>
                <c:pt idx="867">
                  <c:v>10-Jun-2022</c:v>
                </c:pt>
                <c:pt idx="868">
                  <c:v>14-Jun-2022</c:v>
                </c:pt>
                <c:pt idx="869">
                  <c:v>15-Jun-2022</c:v>
                </c:pt>
                <c:pt idx="870">
                  <c:v>16-Jun-2022</c:v>
                </c:pt>
                <c:pt idx="871">
                  <c:v>17-Jun-2022</c:v>
                </c:pt>
                <c:pt idx="872">
                  <c:v>20-Jun-2022</c:v>
                </c:pt>
                <c:pt idx="873">
                  <c:v>21-Jun-2022</c:v>
                </c:pt>
                <c:pt idx="874">
                  <c:v>22-Jun-2022</c:v>
                </c:pt>
                <c:pt idx="875">
                  <c:v>23-Jun-2022</c:v>
                </c:pt>
                <c:pt idx="876">
                  <c:v>24-Jun-2022</c:v>
                </c:pt>
                <c:pt idx="877">
                  <c:v>27-Jun-2022</c:v>
                </c:pt>
                <c:pt idx="878">
                  <c:v>28-Jun-2022</c:v>
                </c:pt>
                <c:pt idx="879">
                  <c:v>29-Jun-2022</c:v>
                </c:pt>
                <c:pt idx="880">
                  <c:v>30-Jun-2022</c:v>
                </c:pt>
                <c:pt idx="881">
                  <c:v>01-Jul-2022</c:v>
                </c:pt>
                <c:pt idx="882">
                  <c:v>04-Jul-2022</c:v>
                </c:pt>
                <c:pt idx="883">
                  <c:v>05-Jul-2022</c:v>
                </c:pt>
                <c:pt idx="884">
                  <c:v>06-Jul-2022</c:v>
                </c:pt>
                <c:pt idx="885">
                  <c:v>07-Jul-2022</c:v>
                </c:pt>
                <c:pt idx="886">
                  <c:v>08-Jul-2022</c:v>
                </c:pt>
                <c:pt idx="887">
                  <c:v>11-Jul-2022</c:v>
                </c:pt>
                <c:pt idx="888">
                  <c:v>12-Jul-2022</c:v>
                </c:pt>
                <c:pt idx="889">
                  <c:v>13-Jul-2022</c:v>
                </c:pt>
                <c:pt idx="890">
                  <c:v>14-Jul-2022</c:v>
                </c:pt>
                <c:pt idx="891">
                  <c:v>15-Jul-2022</c:v>
                </c:pt>
                <c:pt idx="892">
                  <c:v>18-Jul-2022</c:v>
                </c:pt>
                <c:pt idx="893">
                  <c:v>19-Jul-2022</c:v>
                </c:pt>
                <c:pt idx="894">
                  <c:v>20-Jul-2022</c:v>
                </c:pt>
                <c:pt idx="895">
                  <c:v>21-Jul-2022</c:v>
                </c:pt>
                <c:pt idx="896">
                  <c:v>22-Jul-2022</c:v>
                </c:pt>
                <c:pt idx="897">
                  <c:v>25-Jul-2022</c:v>
                </c:pt>
                <c:pt idx="898">
                  <c:v>26-Jul-2022</c:v>
                </c:pt>
                <c:pt idx="899">
                  <c:v>27-Jul-2022</c:v>
                </c:pt>
                <c:pt idx="900">
                  <c:v>28-Jul-2022</c:v>
                </c:pt>
                <c:pt idx="901">
                  <c:v>29-Jul-2022</c:v>
                </c:pt>
                <c:pt idx="902">
                  <c:v>01-Aug-2022</c:v>
                </c:pt>
                <c:pt idx="903">
                  <c:v>02-Aug-2022</c:v>
                </c:pt>
                <c:pt idx="904">
                  <c:v>03-Aug-2022</c:v>
                </c:pt>
                <c:pt idx="905">
                  <c:v>04-Aug-2022</c:v>
                </c:pt>
                <c:pt idx="906">
                  <c:v>05-Aug-2022</c:v>
                </c:pt>
                <c:pt idx="907">
                  <c:v>08-Aug-2022</c:v>
                </c:pt>
                <c:pt idx="908">
                  <c:v>09-Aug-2022</c:v>
                </c:pt>
                <c:pt idx="909">
                  <c:v>10-Aug-2022</c:v>
                </c:pt>
                <c:pt idx="910">
                  <c:v>11-Aug-2022</c:v>
                </c:pt>
                <c:pt idx="911">
                  <c:v>12-Aug-2022</c:v>
                </c:pt>
                <c:pt idx="912">
                  <c:v>15-Aug-2022</c:v>
                </c:pt>
                <c:pt idx="913">
                  <c:v>16-Aug-2022</c:v>
                </c:pt>
                <c:pt idx="914">
                  <c:v>17-Aug-2022</c:v>
                </c:pt>
                <c:pt idx="915">
                  <c:v>18-Aug-2022</c:v>
                </c:pt>
                <c:pt idx="916">
                  <c:v>19-Aug-2022</c:v>
                </c:pt>
                <c:pt idx="917">
                  <c:v>22-Aug-2022</c:v>
                </c:pt>
                <c:pt idx="918">
                  <c:v>23-Aug-2022</c:v>
                </c:pt>
                <c:pt idx="919">
                  <c:v>24-Aug-2022</c:v>
                </c:pt>
                <c:pt idx="920">
                  <c:v>25-Aug-2022</c:v>
                </c:pt>
                <c:pt idx="921">
                  <c:v>26-Aug-2022</c:v>
                </c:pt>
                <c:pt idx="922">
                  <c:v>29-Aug-2022</c:v>
                </c:pt>
                <c:pt idx="923">
                  <c:v>30-Aug-2022</c:v>
                </c:pt>
                <c:pt idx="924">
                  <c:v>31-Aug-2022</c:v>
                </c:pt>
                <c:pt idx="925">
                  <c:v>01-Sep-2022</c:v>
                </c:pt>
                <c:pt idx="926">
                  <c:v>02-Sep-2022</c:v>
                </c:pt>
                <c:pt idx="927">
                  <c:v>05-Sep-2022</c:v>
                </c:pt>
                <c:pt idx="928">
                  <c:v>06-Sep-2022</c:v>
                </c:pt>
                <c:pt idx="929">
                  <c:v>07-Sep-2022</c:v>
                </c:pt>
                <c:pt idx="930">
                  <c:v>08-Sep-2022</c:v>
                </c:pt>
                <c:pt idx="931">
                  <c:v>09-Sep-2022</c:v>
                </c:pt>
                <c:pt idx="932">
                  <c:v>12-Sep-2022</c:v>
                </c:pt>
                <c:pt idx="933">
                  <c:v>13-Sep-2022</c:v>
                </c:pt>
                <c:pt idx="934">
                  <c:v>14-Sep-2022</c:v>
                </c:pt>
                <c:pt idx="935">
                  <c:v>15-Sep-2022</c:v>
                </c:pt>
                <c:pt idx="936">
                  <c:v>16-Sep-2022</c:v>
                </c:pt>
                <c:pt idx="937">
                  <c:v>19-Sep-2022</c:v>
                </c:pt>
                <c:pt idx="938">
                  <c:v>20-Sep-2022</c:v>
                </c:pt>
                <c:pt idx="939">
                  <c:v>21-Sep-2022</c:v>
                </c:pt>
                <c:pt idx="940">
                  <c:v>23-Sep-2022</c:v>
                </c:pt>
                <c:pt idx="941">
                  <c:v>26-Sep-2022</c:v>
                </c:pt>
                <c:pt idx="942">
                  <c:v>27-Sep-2022</c:v>
                </c:pt>
                <c:pt idx="943">
                  <c:v>28-Sep-2022</c:v>
                </c:pt>
                <c:pt idx="944">
                  <c:v>29-Sep-2022</c:v>
                </c:pt>
                <c:pt idx="945">
                  <c:v>30-Sep-2022</c:v>
                </c:pt>
                <c:pt idx="946">
                  <c:v>04-Oct-2022</c:v>
                </c:pt>
                <c:pt idx="947">
                  <c:v>05-Oct-2022</c:v>
                </c:pt>
                <c:pt idx="948">
                  <c:v>06-Oct-2022</c:v>
                </c:pt>
                <c:pt idx="949">
                  <c:v>07-Oct-2022</c:v>
                </c:pt>
                <c:pt idx="950">
                  <c:v>10-Oct-2022</c:v>
                </c:pt>
                <c:pt idx="951">
                  <c:v>11-Oct-2022</c:v>
                </c:pt>
                <c:pt idx="952">
                  <c:v>12-Oct-2022</c:v>
                </c:pt>
                <c:pt idx="953">
                  <c:v>13-Oct-2022</c:v>
                </c:pt>
                <c:pt idx="954">
                  <c:v>14-Oct-2022</c:v>
                </c:pt>
                <c:pt idx="955">
                  <c:v>17-Oct-2022</c:v>
                </c:pt>
                <c:pt idx="956">
                  <c:v>18-Oct-2022</c:v>
                </c:pt>
                <c:pt idx="957">
                  <c:v>19-Oct-2022</c:v>
                </c:pt>
                <c:pt idx="958">
                  <c:v>20-Oct-2022</c:v>
                </c:pt>
                <c:pt idx="959">
                  <c:v>21-Oct-2022</c:v>
                </c:pt>
                <c:pt idx="960">
                  <c:v>24-Oct-2022</c:v>
                </c:pt>
                <c:pt idx="961">
                  <c:v>25-Oct-2022</c:v>
                </c:pt>
                <c:pt idx="962">
                  <c:v>26-Oct-2022</c:v>
                </c:pt>
                <c:pt idx="963">
                  <c:v>27-Oct-2022</c:v>
                </c:pt>
                <c:pt idx="964">
                  <c:v>28-Oct-2022</c:v>
                </c:pt>
                <c:pt idx="965">
                  <c:v>31-Oct-2022</c:v>
                </c:pt>
                <c:pt idx="966">
                  <c:v>01-Nov-2022</c:v>
                </c:pt>
                <c:pt idx="967">
                  <c:v>02-Nov-2022</c:v>
                </c:pt>
                <c:pt idx="968">
                  <c:v>03-Nov-2022</c:v>
                </c:pt>
                <c:pt idx="969">
                  <c:v>04-Nov-2022</c:v>
                </c:pt>
                <c:pt idx="970">
                  <c:v>07-Nov-2022</c:v>
                </c:pt>
                <c:pt idx="971">
                  <c:v>08-Nov-2022</c:v>
                </c:pt>
                <c:pt idx="972">
                  <c:v>09-Nov-2022</c:v>
                </c:pt>
                <c:pt idx="973">
                  <c:v>10-Nov-2022</c:v>
                </c:pt>
                <c:pt idx="974">
                  <c:v>11-Nov-2022</c:v>
                </c:pt>
                <c:pt idx="975">
                  <c:v>14-Nov-2022</c:v>
                </c:pt>
                <c:pt idx="976">
                  <c:v>15-Nov-2022</c:v>
                </c:pt>
                <c:pt idx="977">
                  <c:v>16-Nov-2022</c:v>
                </c:pt>
                <c:pt idx="978">
                  <c:v>17-Nov-2022</c:v>
                </c:pt>
                <c:pt idx="979">
                  <c:v>18-Nov-2022</c:v>
                </c:pt>
                <c:pt idx="980">
                  <c:v>21-Nov-2022</c:v>
                </c:pt>
                <c:pt idx="981">
                  <c:v>22-Nov-2022</c:v>
                </c:pt>
                <c:pt idx="982">
                  <c:v>23-Nov-2022</c:v>
                </c:pt>
                <c:pt idx="983">
                  <c:v>24-Nov-2022</c:v>
                </c:pt>
                <c:pt idx="984">
                  <c:v>25-Nov-2022</c:v>
                </c:pt>
                <c:pt idx="985">
                  <c:v>28-Nov-2022</c:v>
                </c:pt>
                <c:pt idx="986">
                  <c:v>29-Nov-2022</c:v>
                </c:pt>
                <c:pt idx="987">
                  <c:v>30-Nov-2022</c:v>
                </c:pt>
                <c:pt idx="988">
                  <c:v>01-Dec-2022</c:v>
                </c:pt>
                <c:pt idx="989">
                  <c:v>02-Dec-2022</c:v>
                </c:pt>
                <c:pt idx="990">
                  <c:v>05-Dec-2022</c:v>
                </c:pt>
                <c:pt idx="991">
                  <c:v>06-Dec-2022</c:v>
                </c:pt>
                <c:pt idx="992">
                  <c:v>07-Dec-2022</c:v>
                </c:pt>
                <c:pt idx="993">
                  <c:v>08-Dec-2022</c:v>
                </c:pt>
                <c:pt idx="994">
                  <c:v>09-Dec-2022</c:v>
                </c:pt>
                <c:pt idx="995">
                  <c:v>12-Dec-2022</c:v>
                </c:pt>
                <c:pt idx="996">
                  <c:v>13-Dec-2022</c:v>
                </c:pt>
                <c:pt idx="997">
                  <c:v>14-Dec-2022</c:v>
                </c:pt>
                <c:pt idx="998">
                  <c:v>15-Dec-2022</c:v>
                </c:pt>
                <c:pt idx="999">
                  <c:v>16-Dec-2022</c:v>
                </c:pt>
                <c:pt idx="1000">
                  <c:v>19-Dec-2022</c:v>
                </c:pt>
                <c:pt idx="1001">
                  <c:v>20-Dec-2022</c:v>
                </c:pt>
                <c:pt idx="1002">
                  <c:v>21-Dec-2022</c:v>
                </c:pt>
                <c:pt idx="1003">
                  <c:v>22-Dec-2022</c:v>
                </c:pt>
                <c:pt idx="1004">
                  <c:v>23-Dec-2022</c:v>
                </c:pt>
                <c:pt idx="1005">
                  <c:v>28-Dec-2022</c:v>
                </c:pt>
                <c:pt idx="1006">
                  <c:v>29-Dec-2022</c:v>
                </c:pt>
                <c:pt idx="1007">
                  <c:v>30-Dec-2022</c:v>
                </c:pt>
                <c:pt idx="1008">
                  <c:v>03-Jan-2023</c:v>
                </c:pt>
                <c:pt idx="1009">
                  <c:v>04-Jan-2023</c:v>
                </c:pt>
                <c:pt idx="1010">
                  <c:v>05-Jan-2023</c:v>
                </c:pt>
                <c:pt idx="1011">
                  <c:v>06-Jan-2023</c:v>
                </c:pt>
                <c:pt idx="1012">
                  <c:v>09-Jan-2023</c:v>
                </c:pt>
                <c:pt idx="1013">
                  <c:v>10-Jan-2023</c:v>
                </c:pt>
                <c:pt idx="1014">
                  <c:v>11-Jan-2023</c:v>
                </c:pt>
                <c:pt idx="1015">
                  <c:v>12-Jan-2023</c:v>
                </c:pt>
                <c:pt idx="1016">
                  <c:v>13-Jan-2023</c:v>
                </c:pt>
                <c:pt idx="1017">
                  <c:v>16-Jan-2023</c:v>
                </c:pt>
                <c:pt idx="1018">
                  <c:v>17-Jan-2023</c:v>
                </c:pt>
                <c:pt idx="1019">
                  <c:v>18-Jan-2023</c:v>
                </c:pt>
                <c:pt idx="1020">
                  <c:v>19-Jan-2023</c:v>
                </c:pt>
                <c:pt idx="1021">
                  <c:v>20-Jan-2023</c:v>
                </c:pt>
                <c:pt idx="1022">
                  <c:v>23-Jan-2023</c:v>
                </c:pt>
                <c:pt idx="1023">
                  <c:v>24-Jan-2023</c:v>
                </c:pt>
                <c:pt idx="1024">
                  <c:v>25-Jan-2023</c:v>
                </c:pt>
                <c:pt idx="1025">
                  <c:v>27-Jan-2023</c:v>
                </c:pt>
                <c:pt idx="1026">
                  <c:v>30-Jan-2023</c:v>
                </c:pt>
                <c:pt idx="1027">
                  <c:v>31-Jan-2023</c:v>
                </c:pt>
                <c:pt idx="1028">
                  <c:v>01-Feb-2023</c:v>
                </c:pt>
                <c:pt idx="1029">
                  <c:v>02-Feb-2023</c:v>
                </c:pt>
                <c:pt idx="1030">
                  <c:v>03-Feb-2023</c:v>
                </c:pt>
                <c:pt idx="1031">
                  <c:v>06-Feb-2023</c:v>
                </c:pt>
                <c:pt idx="1032">
                  <c:v>07-Feb-2023</c:v>
                </c:pt>
                <c:pt idx="1033">
                  <c:v>08-Feb-2023</c:v>
                </c:pt>
                <c:pt idx="1034">
                  <c:v>09-Feb-2023</c:v>
                </c:pt>
                <c:pt idx="1035">
                  <c:v>10-Feb-2023</c:v>
                </c:pt>
                <c:pt idx="1036">
                  <c:v>13-Feb-2023</c:v>
                </c:pt>
                <c:pt idx="1037">
                  <c:v>14-Feb-2023</c:v>
                </c:pt>
                <c:pt idx="1038">
                  <c:v>15-Feb-2023</c:v>
                </c:pt>
                <c:pt idx="1039">
                  <c:v>16-Feb-2023</c:v>
                </c:pt>
                <c:pt idx="1040">
                  <c:v>17-Feb-2023</c:v>
                </c:pt>
                <c:pt idx="1041">
                  <c:v>20-Feb-2023</c:v>
                </c:pt>
                <c:pt idx="1042">
                  <c:v>21-Feb-2023</c:v>
                </c:pt>
                <c:pt idx="1043">
                  <c:v>22-Feb-2023</c:v>
                </c:pt>
                <c:pt idx="1044">
                  <c:v>23-Feb-2023</c:v>
                </c:pt>
                <c:pt idx="1045">
                  <c:v>24-Feb-2023</c:v>
                </c:pt>
                <c:pt idx="1046">
                  <c:v>27-Feb-2023</c:v>
                </c:pt>
                <c:pt idx="1047">
                  <c:v>28-Feb-2023</c:v>
                </c:pt>
                <c:pt idx="1048">
                  <c:v>01-Mar-2023</c:v>
                </c:pt>
                <c:pt idx="1049">
                  <c:v>02-Mar-2023</c:v>
                </c:pt>
                <c:pt idx="1050">
                  <c:v>03-Mar-2023</c:v>
                </c:pt>
                <c:pt idx="1051">
                  <c:v>06-Mar-2023</c:v>
                </c:pt>
                <c:pt idx="1052">
                  <c:v>07-Mar-2023</c:v>
                </c:pt>
                <c:pt idx="1053">
                  <c:v>08-Mar-2023</c:v>
                </c:pt>
                <c:pt idx="1054">
                  <c:v>09-Mar-2023</c:v>
                </c:pt>
                <c:pt idx="1055">
                  <c:v>10-Mar-2023</c:v>
                </c:pt>
                <c:pt idx="1056">
                  <c:v>13-Mar-2023</c:v>
                </c:pt>
                <c:pt idx="1057">
                  <c:v>14-Mar-2023</c:v>
                </c:pt>
                <c:pt idx="1058">
                  <c:v>15-Mar-2023</c:v>
                </c:pt>
                <c:pt idx="1059">
                  <c:v>16-Mar-2023</c:v>
                </c:pt>
                <c:pt idx="1060">
                  <c:v>17-Mar-2023</c:v>
                </c:pt>
                <c:pt idx="1061">
                  <c:v>20-Mar-2023</c:v>
                </c:pt>
                <c:pt idx="1062">
                  <c:v>21-Mar-2023</c:v>
                </c:pt>
                <c:pt idx="1063">
                  <c:v>22-Mar-2023</c:v>
                </c:pt>
                <c:pt idx="1064">
                  <c:v>23-Mar-2023</c:v>
                </c:pt>
                <c:pt idx="1065">
                  <c:v>24-Mar-2023</c:v>
                </c:pt>
                <c:pt idx="1066">
                  <c:v>27-Mar-2023</c:v>
                </c:pt>
                <c:pt idx="1067">
                  <c:v>28-Mar-2023</c:v>
                </c:pt>
                <c:pt idx="1068">
                  <c:v>29-Mar-2023</c:v>
                </c:pt>
                <c:pt idx="1069">
                  <c:v>30-Mar-2023</c:v>
                </c:pt>
                <c:pt idx="1070">
                  <c:v>31-Mar-2023</c:v>
                </c:pt>
                <c:pt idx="1071">
                  <c:v>03-Apr-2023</c:v>
                </c:pt>
                <c:pt idx="1072">
                  <c:v>04-Apr-2023</c:v>
                </c:pt>
                <c:pt idx="1073">
                  <c:v>05-Apr-2023</c:v>
                </c:pt>
                <c:pt idx="1074">
                  <c:v>06-Apr-2023</c:v>
                </c:pt>
                <c:pt idx="1075">
                  <c:v>11-Apr-2023</c:v>
                </c:pt>
                <c:pt idx="1076">
                  <c:v>12-Apr-2023</c:v>
                </c:pt>
                <c:pt idx="1077">
                  <c:v>13-Apr-2023</c:v>
                </c:pt>
                <c:pt idx="1078">
                  <c:v>14-Apr-2023</c:v>
                </c:pt>
                <c:pt idx="1079">
                  <c:v>17-Apr-2023</c:v>
                </c:pt>
                <c:pt idx="1080">
                  <c:v>18-Apr-2023</c:v>
                </c:pt>
                <c:pt idx="1081">
                  <c:v>19-Apr-2023</c:v>
                </c:pt>
                <c:pt idx="1082">
                  <c:v>20-Apr-2023</c:v>
                </c:pt>
                <c:pt idx="1083">
                  <c:v>21-Apr-2023</c:v>
                </c:pt>
                <c:pt idx="1084">
                  <c:v>24-Apr-2023</c:v>
                </c:pt>
                <c:pt idx="1085">
                  <c:v>26-Apr-2023</c:v>
                </c:pt>
                <c:pt idx="1086">
                  <c:v>27-Apr-2023</c:v>
                </c:pt>
                <c:pt idx="1087">
                  <c:v>28-Apr-2023</c:v>
                </c:pt>
                <c:pt idx="1088">
                  <c:v>01-May-2023</c:v>
                </c:pt>
                <c:pt idx="1089">
                  <c:v>02-May-2023</c:v>
                </c:pt>
                <c:pt idx="1090">
                  <c:v>03-May-2023</c:v>
                </c:pt>
                <c:pt idx="1091">
                  <c:v>04-May-2023</c:v>
                </c:pt>
                <c:pt idx="1092">
                  <c:v>05-May-2023</c:v>
                </c:pt>
                <c:pt idx="1093">
                  <c:v>08-May-2023</c:v>
                </c:pt>
                <c:pt idx="1094">
                  <c:v>09-May-2023</c:v>
                </c:pt>
                <c:pt idx="1095">
                  <c:v>10-May-2023</c:v>
                </c:pt>
                <c:pt idx="1096">
                  <c:v>11-May-2023</c:v>
                </c:pt>
                <c:pt idx="1097">
                  <c:v>12-May-2023</c:v>
                </c:pt>
                <c:pt idx="1098">
                  <c:v>15-May-2023</c:v>
                </c:pt>
                <c:pt idx="1099">
                  <c:v>16-May-2023</c:v>
                </c:pt>
                <c:pt idx="1100">
                  <c:v>17-May-2023</c:v>
                </c:pt>
                <c:pt idx="1101">
                  <c:v>18-May-2023</c:v>
                </c:pt>
                <c:pt idx="1102">
                  <c:v>19-May-2023</c:v>
                </c:pt>
                <c:pt idx="1103">
                  <c:v>22-May-2023</c:v>
                </c:pt>
                <c:pt idx="1104">
                  <c:v>23-May-2023</c:v>
                </c:pt>
                <c:pt idx="1105">
                  <c:v>24-May-2023</c:v>
                </c:pt>
                <c:pt idx="1106">
                  <c:v>25-May-2023</c:v>
                </c:pt>
                <c:pt idx="1107">
                  <c:v>26-May-2023</c:v>
                </c:pt>
                <c:pt idx="1108">
                  <c:v>29-May-2023</c:v>
                </c:pt>
                <c:pt idx="1109">
                  <c:v>30-May-2023</c:v>
                </c:pt>
                <c:pt idx="1110">
                  <c:v>31-May-2023</c:v>
                </c:pt>
                <c:pt idx="1111">
                  <c:v>01-Jun-2023</c:v>
                </c:pt>
                <c:pt idx="1112">
                  <c:v>02-Jun-2023</c:v>
                </c:pt>
                <c:pt idx="1113">
                  <c:v>05-Jun-2023</c:v>
                </c:pt>
                <c:pt idx="1114">
                  <c:v>06-Jun-2023</c:v>
                </c:pt>
                <c:pt idx="1115">
                  <c:v>07-Jun-2023</c:v>
                </c:pt>
                <c:pt idx="1116">
                  <c:v>08-Jun-2023</c:v>
                </c:pt>
                <c:pt idx="1117">
                  <c:v>09-Jun-2023</c:v>
                </c:pt>
                <c:pt idx="1118">
                  <c:v>13-Jun-2023</c:v>
                </c:pt>
                <c:pt idx="1119">
                  <c:v>14-Jun-2023</c:v>
                </c:pt>
                <c:pt idx="1120">
                  <c:v>15-Jun-2023</c:v>
                </c:pt>
                <c:pt idx="1121">
                  <c:v>16-Jun-2023</c:v>
                </c:pt>
                <c:pt idx="1122">
                  <c:v>19-Jun-2023</c:v>
                </c:pt>
                <c:pt idx="1123">
                  <c:v>20-Jun-2023</c:v>
                </c:pt>
                <c:pt idx="1124">
                  <c:v>21-Jun-2023</c:v>
                </c:pt>
                <c:pt idx="1125">
                  <c:v>22-Jun-2023</c:v>
                </c:pt>
                <c:pt idx="1126">
                  <c:v>23-Jun-2023</c:v>
                </c:pt>
                <c:pt idx="1127">
                  <c:v>26-Jun-2023</c:v>
                </c:pt>
                <c:pt idx="1128">
                  <c:v>27-Jun-2023</c:v>
                </c:pt>
                <c:pt idx="1129">
                  <c:v>28-Jun-2023</c:v>
                </c:pt>
                <c:pt idx="1130">
                  <c:v>29-Jun-2023</c:v>
                </c:pt>
                <c:pt idx="1131">
                  <c:v>30-Jun-2023</c:v>
                </c:pt>
                <c:pt idx="1132">
                  <c:v>03-Jul-2023</c:v>
                </c:pt>
                <c:pt idx="1133">
                  <c:v>04-Jul-2023</c:v>
                </c:pt>
                <c:pt idx="1134">
                  <c:v>05-Jul-2023</c:v>
                </c:pt>
                <c:pt idx="1135">
                  <c:v>06-Jul-2023</c:v>
                </c:pt>
                <c:pt idx="1136">
                  <c:v>07-Jul-2023</c:v>
                </c:pt>
                <c:pt idx="1137">
                  <c:v>10-Jul-2023</c:v>
                </c:pt>
                <c:pt idx="1138">
                  <c:v>11-Jul-2023</c:v>
                </c:pt>
                <c:pt idx="1139">
                  <c:v>12-Jul-2023</c:v>
                </c:pt>
                <c:pt idx="1140">
                  <c:v>13-Jul-2023</c:v>
                </c:pt>
                <c:pt idx="1141">
                  <c:v>14-Jul-2023</c:v>
                </c:pt>
                <c:pt idx="1142">
                  <c:v>17-Jul-2023</c:v>
                </c:pt>
                <c:pt idx="1143">
                  <c:v>18-Jul-2023</c:v>
                </c:pt>
                <c:pt idx="1144">
                  <c:v>19-Jul-2023</c:v>
                </c:pt>
                <c:pt idx="1145">
                  <c:v>20-Jul-2023</c:v>
                </c:pt>
                <c:pt idx="1146">
                  <c:v>21-Jul-2023</c:v>
                </c:pt>
                <c:pt idx="1147">
                  <c:v>24-Jul-2023</c:v>
                </c:pt>
                <c:pt idx="1148">
                  <c:v>25-Jul-2023</c:v>
                </c:pt>
                <c:pt idx="1149">
                  <c:v>26-Jul-2023</c:v>
                </c:pt>
                <c:pt idx="1150">
                  <c:v>27-Jul-2023</c:v>
                </c:pt>
                <c:pt idx="1151">
                  <c:v>28-Jul-2023</c:v>
                </c:pt>
                <c:pt idx="1152">
                  <c:v>31-Jul-2023</c:v>
                </c:pt>
                <c:pt idx="1153">
                  <c:v>01-Aug-2023</c:v>
                </c:pt>
                <c:pt idx="1154">
                  <c:v>02-Aug-2023</c:v>
                </c:pt>
                <c:pt idx="1155">
                  <c:v>03-Aug-2023</c:v>
                </c:pt>
                <c:pt idx="1156">
                  <c:v>04-Aug-2023</c:v>
                </c:pt>
                <c:pt idx="1157">
                  <c:v>07-Aug-2023</c:v>
                </c:pt>
                <c:pt idx="1158">
                  <c:v>08-Aug-2023</c:v>
                </c:pt>
                <c:pt idx="1159">
                  <c:v>09-Aug-2023</c:v>
                </c:pt>
                <c:pt idx="1160">
                  <c:v>10-Aug-2023</c:v>
                </c:pt>
                <c:pt idx="1161">
                  <c:v>11-Aug-2023</c:v>
                </c:pt>
                <c:pt idx="1162">
                  <c:v>14-Aug-2023</c:v>
                </c:pt>
                <c:pt idx="1163">
                  <c:v>15-Aug-2023</c:v>
                </c:pt>
                <c:pt idx="1164">
                  <c:v>16-Aug-2023</c:v>
                </c:pt>
                <c:pt idx="1165">
                  <c:v>17-Aug-2023</c:v>
                </c:pt>
                <c:pt idx="1166">
                  <c:v>18-Aug-2023</c:v>
                </c:pt>
                <c:pt idx="1167">
                  <c:v>21-Aug-2023</c:v>
                </c:pt>
                <c:pt idx="1168">
                  <c:v>22-Aug-2023</c:v>
                </c:pt>
                <c:pt idx="1169">
                  <c:v>23-Aug-2023</c:v>
                </c:pt>
                <c:pt idx="1170">
                  <c:v>24-Aug-2023</c:v>
                </c:pt>
                <c:pt idx="1171">
                  <c:v>25-Aug-2023</c:v>
                </c:pt>
                <c:pt idx="1172">
                  <c:v>28-Aug-2023</c:v>
                </c:pt>
                <c:pt idx="1173">
                  <c:v>29-Aug-2023</c:v>
                </c:pt>
                <c:pt idx="1174">
                  <c:v>30-Aug-2023</c:v>
                </c:pt>
                <c:pt idx="1175">
                  <c:v>31-Aug-2023</c:v>
                </c:pt>
                <c:pt idx="1176">
                  <c:v>01-Sep-2023</c:v>
                </c:pt>
                <c:pt idx="1177">
                  <c:v>04-Sep-2023</c:v>
                </c:pt>
                <c:pt idx="1178">
                  <c:v>05-Sep-2023</c:v>
                </c:pt>
                <c:pt idx="1179">
                  <c:v>06-Sep-2023</c:v>
                </c:pt>
                <c:pt idx="1180">
                  <c:v>07-Sep-2023</c:v>
                </c:pt>
                <c:pt idx="1181">
                  <c:v>08-Sep-2023</c:v>
                </c:pt>
                <c:pt idx="1182">
                  <c:v>11-Sep-2023</c:v>
                </c:pt>
                <c:pt idx="1183">
                  <c:v>12-Sep-2023</c:v>
                </c:pt>
                <c:pt idx="1184">
                  <c:v>13-Sep-2023</c:v>
                </c:pt>
                <c:pt idx="1185">
                  <c:v>14-Sep-2023</c:v>
                </c:pt>
                <c:pt idx="1186">
                  <c:v>15-Sep-2023</c:v>
                </c:pt>
                <c:pt idx="1187">
                  <c:v>18-Sep-2023</c:v>
                </c:pt>
                <c:pt idx="1188">
                  <c:v>19-Sep-2023</c:v>
                </c:pt>
                <c:pt idx="1189">
                  <c:v>20-Sep-2023</c:v>
                </c:pt>
                <c:pt idx="1190">
                  <c:v>21-Sep-2023</c:v>
                </c:pt>
                <c:pt idx="1191">
                  <c:v>22-Sep-2023</c:v>
                </c:pt>
                <c:pt idx="1192">
                  <c:v>25-Sep-2023</c:v>
                </c:pt>
                <c:pt idx="1193">
                  <c:v>26-Sep-2023</c:v>
                </c:pt>
                <c:pt idx="1194">
                  <c:v>27-Sep-2023</c:v>
                </c:pt>
                <c:pt idx="1195">
                  <c:v>28-Sep-2023</c:v>
                </c:pt>
                <c:pt idx="1196">
                  <c:v>29-Sep-2023</c:v>
                </c:pt>
                <c:pt idx="1197">
                  <c:v>03-Oct-2023</c:v>
                </c:pt>
                <c:pt idx="1198">
                  <c:v>04-Oct-2023</c:v>
                </c:pt>
                <c:pt idx="1199">
                  <c:v>05-Oct-2023</c:v>
                </c:pt>
                <c:pt idx="1200">
                  <c:v>06-Oct-2023</c:v>
                </c:pt>
                <c:pt idx="1201">
                  <c:v>09-Oct-2023</c:v>
                </c:pt>
                <c:pt idx="1202">
                  <c:v>10-Oct-2023</c:v>
                </c:pt>
                <c:pt idx="1203">
                  <c:v>11-Oct-2023</c:v>
                </c:pt>
                <c:pt idx="1204">
                  <c:v>12-Oct-2023</c:v>
                </c:pt>
                <c:pt idx="1205">
                  <c:v>13-Oct-2023</c:v>
                </c:pt>
                <c:pt idx="1206">
                  <c:v>16-Oct-2023</c:v>
                </c:pt>
                <c:pt idx="1207">
                  <c:v>17-Oct-2023</c:v>
                </c:pt>
                <c:pt idx="1208">
                  <c:v>18-Oct-2023</c:v>
                </c:pt>
                <c:pt idx="1209">
                  <c:v>19-Oct-2023</c:v>
                </c:pt>
                <c:pt idx="1210">
                  <c:v>20-Oct-2023</c:v>
                </c:pt>
                <c:pt idx="1211">
                  <c:v>23-Oct-2023</c:v>
                </c:pt>
                <c:pt idx="1212">
                  <c:v>24-Oct-2023</c:v>
                </c:pt>
                <c:pt idx="1213">
                  <c:v>25-Oct-2023</c:v>
                </c:pt>
                <c:pt idx="1214">
                  <c:v>26-Oct-2023</c:v>
                </c:pt>
                <c:pt idx="1215">
                  <c:v>27-Oct-2023</c:v>
                </c:pt>
                <c:pt idx="1216">
                  <c:v>30-Oct-2023</c:v>
                </c:pt>
                <c:pt idx="1217">
                  <c:v>31-Oct-2023</c:v>
                </c:pt>
                <c:pt idx="1218">
                  <c:v>01-Nov-2023</c:v>
                </c:pt>
                <c:pt idx="1219">
                  <c:v>02-Nov-2023</c:v>
                </c:pt>
                <c:pt idx="1220">
                  <c:v>03-Nov-2023</c:v>
                </c:pt>
                <c:pt idx="1221">
                  <c:v>06-Nov-2023</c:v>
                </c:pt>
                <c:pt idx="1222">
                  <c:v>07-Nov-2023</c:v>
                </c:pt>
                <c:pt idx="1223">
                  <c:v>08-Nov-2023</c:v>
                </c:pt>
                <c:pt idx="1224">
                  <c:v>09-Nov-2023</c:v>
                </c:pt>
                <c:pt idx="1225">
                  <c:v>10-Nov-2023</c:v>
                </c:pt>
                <c:pt idx="1226">
                  <c:v>13-Nov-2023</c:v>
                </c:pt>
                <c:pt idx="1227">
                  <c:v>14-Nov-2023</c:v>
                </c:pt>
                <c:pt idx="1228">
                  <c:v>15-Nov-2023</c:v>
                </c:pt>
                <c:pt idx="1229">
                  <c:v>16-Nov-2023</c:v>
                </c:pt>
                <c:pt idx="1230">
                  <c:v>17-Nov-2023</c:v>
                </c:pt>
                <c:pt idx="1231">
                  <c:v>20-Nov-2023</c:v>
                </c:pt>
                <c:pt idx="1232">
                  <c:v>21-Nov-2023</c:v>
                </c:pt>
                <c:pt idx="1233">
                  <c:v>22-Nov-2023</c:v>
                </c:pt>
                <c:pt idx="1234">
                  <c:v>23-Nov-2023</c:v>
                </c:pt>
                <c:pt idx="1235">
                  <c:v>24-Nov-2023</c:v>
                </c:pt>
                <c:pt idx="1236">
                  <c:v>27-Nov-2023</c:v>
                </c:pt>
                <c:pt idx="1237">
                  <c:v>28-Nov-2023</c:v>
                </c:pt>
                <c:pt idx="1238">
                  <c:v>29-Nov-2023</c:v>
                </c:pt>
                <c:pt idx="1239">
                  <c:v>30-Nov-2023</c:v>
                </c:pt>
                <c:pt idx="1240">
                  <c:v>01-Dec-2023</c:v>
                </c:pt>
                <c:pt idx="1241">
                  <c:v>04-Dec-2023</c:v>
                </c:pt>
                <c:pt idx="1242">
                  <c:v>05-Dec-2023</c:v>
                </c:pt>
                <c:pt idx="1243">
                  <c:v>06-Dec-2023</c:v>
                </c:pt>
                <c:pt idx="1244">
                  <c:v>07-Dec-2023</c:v>
                </c:pt>
                <c:pt idx="1245">
                  <c:v>08-Dec-2023</c:v>
                </c:pt>
                <c:pt idx="1246">
                  <c:v>11-Dec-2023</c:v>
                </c:pt>
                <c:pt idx="1247">
                  <c:v>12-Dec-2023</c:v>
                </c:pt>
                <c:pt idx="1248">
                  <c:v>13-Dec-2023</c:v>
                </c:pt>
                <c:pt idx="1249">
                  <c:v>14-Dec-2023</c:v>
                </c:pt>
                <c:pt idx="1250">
                  <c:v>15-Dec-2023</c:v>
                </c:pt>
                <c:pt idx="1251">
                  <c:v>18-Dec-2023</c:v>
                </c:pt>
                <c:pt idx="1252">
                  <c:v>19-Dec-2023</c:v>
                </c:pt>
                <c:pt idx="1253">
                  <c:v>20-Dec-2023</c:v>
                </c:pt>
                <c:pt idx="1254">
                  <c:v>21-Dec-2023</c:v>
                </c:pt>
                <c:pt idx="1255">
                  <c:v>22-Dec-2023</c:v>
                </c:pt>
                <c:pt idx="1256">
                  <c:v>27-Dec-2023</c:v>
                </c:pt>
                <c:pt idx="1257">
                  <c:v>28-Dec-2023</c:v>
                </c:pt>
                <c:pt idx="1258">
                  <c:v>29-Dec-2023</c:v>
                </c:pt>
                <c:pt idx="1259">
                  <c:v>02-Jan-2024</c:v>
                </c:pt>
                <c:pt idx="1260">
                  <c:v>03-Jan-2024</c:v>
                </c:pt>
                <c:pt idx="1261">
                  <c:v>04-Jan-2024</c:v>
                </c:pt>
                <c:pt idx="1262">
                  <c:v>05-Jan-2024</c:v>
                </c:pt>
                <c:pt idx="1263">
                  <c:v>08-Jan-2024</c:v>
                </c:pt>
                <c:pt idx="1264">
                  <c:v>09-Jan-2024</c:v>
                </c:pt>
                <c:pt idx="1265">
                  <c:v>10-Jan-2024</c:v>
                </c:pt>
                <c:pt idx="1266">
                  <c:v>11-Jan-2024</c:v>
                </c:pt>
                <c:pt idx="1267">
                  <c:v>12-Jan-2024</c:v>
                </c:pt>
                <c:pt idx="1268">
                  <c:v>15-Jan-2024</c:v>
                </c:pt>
                <c:pt idx="1269">
                  <c:v>16-Jan-2024</c:v>
                </c:pt>
                <c:pt idx="1270">
                  <c:v>17-Jan-2024</c:v>
                </c:pt>
                <c:pt idx="1271">
                  <c:v>18-Jan-2024</c:v>
                </c:pt>
                <c:pt idx="1272">
                  <c:v>19-Jan-2024</c:v>
                </c:pt>
                <c:pt idx="1273">
                  <c:v>22-Jan-2024</c:v>
                </c:pt>
                <c:pt idx="1274">
                  <c:v>23-Jan-2024</c:v>
                </c:pt>
                <c:pt idx="1275">
                  <c:v>24-Jan-2024</c:v>
                </c:pt>
                <c:pt idx="1276">
                  <c:v>25-Jan-2024</c:v>
                </c:pt>
                <c:pt idx="1277">
                  <c:v>29-Jan-2024</c:v>
                </c:pt>
                <c:pt idx="1278">
                  <c:v>30-Jan-2024</c:v>
                </c:pt>
                <c:pt idx="1279">
                  <c:v>31-Jan-2024</c:v>
                </c:pt>
                <c:pt idx="1280">
                  <c:v>01-Feb-2024</c:v>
                </c:pt>
                <c:pt idx="1281">
                  <c:v>02-Feb-2024</c:v>
                </c:pt>
                <c:pt idx="1282">
                  <c:v>05-Feb-2024</c:v>
                </c:pt>
                <c:pt idx="1283">
                  <c:v>06-Feb-2024</c:v>
                </c:pt>
                <c:pt idx="1284">
                  <c:v>07-Feb-2024</c:v>
                </c:pt>
                <c:pt idx="1285">
                  <c:v>08-Feb-2024</c:v>
                </c:pt>
                <c:pt idx="1286">
                  <c:v>09-Feb-2024</c:v>
                </c:pt>
                <c:pt idx="1287">
                  <c:v>12-Feb-2024</c:v>
                </c:pt>
                <c:pt idx="1288">
                  <c:v>13-Feb-2024</c:v>
                </c:pt>
                <c:pt idx="1289">
                  <c:v>14-Feb-2024</c:v>
                </c:pt>
                <c:pt idx="1290">
                  <c:v>15-Feb-2024</c:v>
                </c:pt>
                <c:pt idx="1291">
                  <c:v>16-Feb-2024</c:v>
                </c:pt>
                <c:pt idx="1292">
                  <c:v>19-Feb-2024</c:v>
                </c:pt>
                <c:pt idx="1293">
                  <c:v>20-Feb-2024</c:v>
                </c:pt>
                <c:pt idx="1294">
                  <c:v>21-Feb-2024</c:v>
                </c:pt>
                <c:pt idx="1295">
                  <c:v>22-Feb-2024</c:v>
                </c:pt>
                <c:pt idx="1296">
                  <c:v>23-Feb-2024</c:v>
                </c:pt>
                <c:pt idx="1297">
                  <c:v>26-Feb-2024</c:v>
                </c:pt>
                <c:pt idx="1298">
                  <c:v>27-Feb-2024</c:v>
                </c:pt>
                <c:pt idx="1299">
                  <c:v>28-Feb-2024</c:v>
                </c:pt>
                <c:pt idx="1300">
                  <c:v>29-Feb-2024</c:v>
                </c:pt>
                <c:pt idx="1301">
                  <c:v>01-Mar-2024</c:v>
                </c:pt>
                <c:pt idx="1302">
                  <c:v>04-Mar-2024</c:v>
                </c:pt>
                <c:pt idx="1303">
                  <c:v>05-Mar-2024</c:v>
                </c:pt>
                <c:pt idx="1304">
                  <c:v>06-Mar-2024</c:v>
                </c:pt>
                <c:pt idx="1305">
                  <c:v>07-Mar-2024</c:v>
                </c:pt>
                <c:pt idx="1306">
                  <c:v>08-Mar-2024</c:v>
                </c:pt>
                <c:pt idx="1307">
                  <c:v>11-Mar-2024</c:v>
                </c:pt>
                <c:pt idx="1308">
                  <c:v>12-Mar-2024</c:v>
                </c:pt>
                <c:pt idx="1309">
                  <c:v>13-Mar-2024</c:v>
                </c:pt>
                <c:pt idx="1310">
                  <c:v>14-Mar-2024</c:v>
                </c:pt>
                <c:pt idx="1311">
                  <c:v>15-Mar-2024</c:v>
                </c:pt>
                <c:pt idx="1312">
                  <c:v>18-Mar-2024</c:v>
                </c:pt>
                <c:pt idx="1313">
                  <c:v>19-Mar-2024</c:v>
                </c:pt>
                <c:pt idx="1314">
                  <c:v>20-Mar-2024</c:v>
                </c:pt>
                <c:pt idx="1315">
                  <c:v>21-Mar-2024</c:v>
                </c:pt>
                <c:pt idx="1316">
                  <c:v>22-Mar-2024</c:v>
                </c:pt>
                <c:pt idx="1317">
                  <c:v>25-Mar-2024</c:v>
                </c:pt>
                <c:pt idx="1318">
                  <c:v>26-Mar-2024</c:v>
                </c:pt>
                <c:pt idx="1319">
                  <c:v>27-Mar-2024</c:v>
                </c:pt>
                <c:pt idx="1320">
                  <c:v>28-Mar-2024</c:v>
                </c:pt>
                <c:pt idx="1321">
                  <c:v>02-Apr-2024</c:v>
                </c:pt>
                <c:pt idx="1322">
                  <c:v>03-Apr-2024</c:v>
                </c:pt>
                <c:pt idx="1323">
                  <c:v>04-Apr-2024</c:v>
                </c:pt>
                <c:pt idx="1324">
                  <c:v>05-Apr-2024</c:v>
                </c:pt>
                <c:pt idx="1325">
                  <c:v>08-Apr-2024</c:v>
                </c:pt>
                <c:pt idx="1326">
                  <c:v>09-Apr-2024</c:v>
                </c:pt>
                <c:pt idx="1327">
                  <c:v>10-Apr-2024</c:v>
                </c:pt>
                <c:pt idx="1328">
                  <c:v>11-Apr-2024</c:v>
                </c:pt>
                <c:pt idx="1329">
                  <c:v>12-Apr-2024</c:v>
                </c:pt>
                <c:pt idx="1330">
                  <c:v>15-Apr-2024</c:v>
                </c:pt>
                <c:pt idx="1331">
                  <c:v>16-Apr-2024</c:v>
                </c:pt>
                <c:pt idx="1332">
                  <c:v>17-Apr-2024</c:v>
                </c:pt>
                <c:pt idx="1333">
                  <c:v>18-Apr-2024</c:v>
                </c:pt>
                <c:pt idx="1334">
                  <c:v>19-Apr-2024</c:v>
                </c:pt>
                <c:pt idx="1335">
                  <c:v>22-Apr-2024</c:v>
                </c:pt>
                <c:pt idx="1336">
                  <c:v>23-Apr-2024</c:v>
                </c:pt>
                <c:pt idx="1337">
                  <c:v>24-Apr-2024</c:v>
                </c:pt>
                <c:pt idx="1338">
                  <c:v>26-Apr-2024</c:v>
                </c:pt>
                <c:pt idx="1339">
                  <c:v>29-Apr-2024</c:v>
                </c:pt>
                <c:pt idx="1340">
                  <c:v>30-Apr-2024</c:v>
                </c:pt>
                <c:pt idx="1341">
                  <c:v>01-May-2024</c:v>
                </c:pt>
                <c:pt idx="1342">
                  <c:v>02-May-2024</c:v>
                </c:pt>
                <c:pt idx="1343">
                  <c:v>03-May-2024</c:v>
                </c:pt>
                <c:pt idx="1344">
                  <c:v>06-May-2024</c:v>
                </c:pt>
                <c:pt idx="1345">
                  <c:v>07-May-2024</c:v>
                </c:pt>
                <c:pt idx="1346">
                  <c:v>08-May-2024</c:v>
                </c:pt>
                <c:pt idx="1347">
                  <c:v>09-May-2024</c:v>
                </c:pt>
                <c:pt idx="1348">
                  <c:v>10-May-2024</c:v>
                </c:pt>
                <c:pt idx="1349">
                  <c:v>13-May-2024</c:v>
                </c:pt>
                <c:pt idx="1350">
                  <c:v>14-May-2024</c:v>
                </c:pt>
                <c:pt idx="1351">
                  <c:v>15-May-2024</c:v>
                </c:pt>
                <c:pt idx="1352">
                  <c:v>16-May-2024</c:v>
                </c:pt>
                <c:pt idx="1353">
                  <c:v>17-May-2024</c:v>
                </c:pt>
                <c:pt idx="1354">
                  <c:v>20-May-2024</c:v>
                </c:pt>
                <c:pt idx="1355">
                  <c:v>21-May-2024</c:v>
                </c:pt>
                <c:pt idx="1356">
                  <c:v>22-May-2024</c:v>
                </c:pt>
                <c:pt idx="1357">
                  <c:v>23-May-2024</c:v>
                </c:pt>
                <c:pt idx="1358">
                  <c:v>24-May-2024</c:v>
                </c:pt>
                <c:pt idx="1359">
                  <c:v>27-May-2024</c:v>
                </c:pt>
                <c:pt idx="1360">
                  <c:v>28-May-2024</c:v>
                </c:pt>
                <c:pt idx="1361">
                  <c:v>29-May-2024</c:v>
                </c:pt>
                <c:pt idx="1362">
                  <c:v>30-May-2024</c:v>
                </c:pt>
                <c:pt idx="1363">
                  <c:v>31-May-2024</c:v>
                </c:pt>
                <c:pt idx="1364">
                  <c:v>03-Jun-2024</c:v>
                </c:pt>
                <c:pt idx="1365">
                  <c:v>04-Jun-2024</c:v>
                </c:pt>
                <c:pt idx="1366">
                  <c:v>05-Jun-2024</c:v>
                </c:pt>
                <c:pt idx="1367">
                  <c:v>06-Jun-2024</c:v>
                </c:pt>
                <c:pt idx="1368">
                  <c:v>07-Jun-2024</c:v>
                </c:pt>
                <c:pt idx="1369">
                  <c:v>11-Jun-2024</c:v>
                </c:pt>
                <c:pt idx="1370">
                  <c:v>12-Jun-2024</c:v>
                </c:pt>
                <c:pt idx="1371">
                  <c:v>13-Jun-2024</c:v>
                </c:pt>
                <c:pt idx="1372">
                  <c:v>14-Jun-2024</c:v>
                </c:pt>
                <c:pt idx="1373">
                  <c:v>17-Jun-2024</c:v>
                </c:pt>
                <c:pt idx="1374">
                  <c:v>18-Jun-2024</c:v>
                </c:pt>
                <c:pt idx="1375">
                  <c:v>19-Jun-2024</c:v>
                </c:pt>
                <c:pt idx="1376">
                  <c:v>20-Jun-2024</c:v>
                </c:pt>
                <c:pt idx="1377">
                  <c:v>21-Jun-2024</c:v>
                </c:pt>
                <c:pt idx="1378">
                  <c:v>24-Jun-2024</c:v>
                </c:pt>
                <c:pt idx="1379">
                  <c:v>25-Jun-2024</c:v>
                </c:pt>
                <c:pt idx="1380">
                  <c:v>26-Jun-2024</c:v>
                </c:pt>
                <c:pt idx="1381">
                  <c:v>27-Jun-2024</c:v>
                </c:pt>
                <c:pt idx="1382">
                  <c:v>28-Jun-2024</c:v>
                </c:pt>
                <c:pt idx="1383">
                  <c:v>01-Jul-2024</c:v>
                </c:pt>
                <c:pt idx="1384">
                  <c:v>02-Jul-2024</c:v>
                </c:pt>
                <c:pt idx="1385">
                  <c:v>03-Jul-2024</c:v>
                </c:pt>
                <c:pt idx="1386">
                  <c:v>04-Jul-2024</c:v>
                </c:pt>
                <c:pt idx="1387">
                  <c:v>05-Jul-2024</c:v>
                </c:pt>
                <c:pt idx="1388">
                  <c:v>08-Jul-2024</c:v>
                </c:pt>
                <c:pt idx="1389">
                  <c:v>09-Jul-2024</c:v>
                </c:pt>
                <c:pt idx="1390">
                  <c:v>10-Jul-2024</c:v>
                </c:pt>
                <c:pt idx="1391">
                  <c:v>11-Jul-2024</c:v>
                </c:pt>
                <c:pt idx="1392">
                  <c:v>12-Jul-2024</c:v>
                </c:pt>
                <c:pt idx="1393">
                  <c:v>15-Jul-2024</c:v>
                </c:pt>
                <c:pt idx="1394">
                  <c:v>16-Jul-2024</c:v>
                </c:pt>
                <c:pt idx="1395">
                  <c:v>17-Jul-2024</c:v>
                </c:pt>
                <c:pt idx="1396">
                  <c:v>18-Jul-2024</c:v>
                </c:pt>
                <c:pt idx="1397">
                  <c:v>19-Jul-2024</c:v>
                </c:pt>
                <c:pt idx="1398">
                  <c:v>22-Jul-2024</c:v>
                </c:pt>
                <c:pt idx="1399">
                  <c:v>23-Jul-2024</c:v>
                </c:pt>
                <c:pt idx="1400">
                  <c:v>24-Jul-2024</c:v>
                </c:pt>
                <c:pt idx="1401">
                  <c:v>25-Jul-2024</c:v>
                </c:pt>
                <c:pt idx="1402">
                  <c:v>26-Jul-2024</c:v>
                </c:pt>
                <c:pt idx="1403">
                  <c:v>29-Jul-2024</c:v>
                </c:pt>
                <c:pt idx="1404">
                  <c:v>30-Jul-2024</c:v>
                </c:pt>
                <c:pt idx="1405">
                  <c:v>31-Jul-2024</c:v>
                </c:pt>
                <c:pt idx="1406">
                  <c:v>01-Aug-2024</c:v>
                </c:pt>
                <c:pt idx="1407">
                  <c:v>02-Aug-2024</c:v>
                </c:pt>
                <c:pt idx="1408">
                  <c:v>05-Aug-2024</c:v>
                </c:pt>
                <c:pt idx="1409">
                  <c:v>06-Aug-2024</c:v>
                </c:pt>
                <c:pt idx="1410">
                  <c:v>07-Aug-2024</c:v>
                </c:pt>
                <c:pt idx="1411">
                  <c:v>08-Aug-2024</c:v>
                </c:pt>
                <c:pt idx="1412">
                  <c:v>09-Aug-2024</c:v>
                </c:pt>
                <c:pt idx="1413">
                  <c:v>12-Aug-2024</c:v>
                </c:pt>
                <c:pt idx="1414">
                  <c:v>13-Aug-2024</c:v>
                </c:pt>
                <c:pt idx="1415">
                  <c:v>14-Aug-2024</c:v>
                </c:pt>
                <c:pt idx="1416">
                  <c:v>15-Aug-2024</c:v>
                </c:pt>
                <c:pt idx="1417">
                  <c:v>16-Aug-2024</c:v>
                </c:pt>
                <c:pt idx="1418">
                  <c:v>19-Aug-2024</c:v>
                </c:pt>
                <c:pt idx="1419">
                  <c:v>20-Aug-2024</c:v>
                </c:pt>
                <c:pt idx="1420">
                  <c:v>21-Aug-2024</c:v>
                </c:pt>
                <c:pt idx="1421">
                  <c:v>22-Aug-2024</c:v>
                </c:pt>
                <c:pt idx="1422">
                  <c:v>23-Aug-2024</c:v>
                </c:pt>
                <c:pt idx="1423">
                  <c:v>26-Aug-2024</c:v>
                </c:pt>
                <c:pt idx="1424">
                  <c:v>27-Aug-2024</c:v>
                </c:pt>
                <c:pt idx="1425">
                  <c:v>28-Aug-2024</c:v>
                </c:pt>
                <c:pt idx="1426">
                  <c:v>29-Aug-2024</c:v>
                </c:pt>
                <c:pt idx="1427">
                  <c:v>30-Aug-2024</c:v>
                </c:pt>
                <c:pt idx="1428">
                  <c:v>02-Sep-2024</c:v>
                </c:pt>
                <c:pt idx="1429">
                  <c:v>03-Sep-2024</c:v>
                </c:pt>
                <c:pt idx="1430">
                  <c:v>04-Sep-2024</c:v>
                </c:pt>
                <c:pt idx="1431">
                  <c:v>05-Sep-2024</c:v>
                </c:pt>
                <c:pt idx="1432">
                  <c:v>06-Sep-2024</c:v>
                </c:pt>
                <c:pt idx="1433">
                  <c:v>09-Sep-2024</c:v>
                </c:pt>
                <c:pt idx="1434">
                  <c:v>10-Sep-2024</c:v>
                </c:pt>
                <c:pt idx="1435">
                  <c:v>11-Sep-2024</c:v>
                </c:pt>
                <c:pt idx="1436">
                  <c:v>12-Sep-2024</c:v>
                </c:pt>
                <c:pt idx="1437">
                  <c:v>13-Sep-2024</c:v>
                </c:pt>
                <c:pt idx="1438">
                  <c:v>16-Sep-2024</c:v>
                </c:pt>
                <c:pt idx="1439">
                  <c:v>17-Sep-2024</c:v>
                </c:pt>
                <c:pt idx="1440">
                  <c:v>18-Sep-2024</c:v>
                </c:pt>
                <c:pt idx="1441">
                  <c:v>19-Sep-2024</c:v>
                </c:pt>
                <c:pt idx="1442">
                  <c:v>20-Sep-2024</c:v>
                </c:pt>
                <c:pt idx="1443">
                  <c:v>23-Sep-2024</c:v>
                </c:pt>
                <c:pt idx="1444">
                  <c:v>24-Sep-2024</c:v>
                </c:pt>
                <c:pt idx="1445">
                  <c:v>25-Sep-2024</c:v>
                </c:pt>
                <c:pt idx="1446">
                  <c:v>26-Sep-2024</c:v>
                </c:pt>
                <c:pt idx="1447">
                  <c:v>27-Sep-2024</c:v>
                </c:pt>
                <c:pt idx="1448">
                  <c:v>30-Sep-2024</c:v>
                </c:pt>
                <c:pt idx="1449">
                  <c:v>01-Oct-2024</c:v>
                </c:pt>
                <c:pt idx="1450">
                  <c:v>02-Oct-2024</c:v>
                </c:pt>
                <c:pt idx="1451">
                  <c:v>03-Oct-2024</c:v>
                </c:pt>
                <c:pt idx="1452">
                  <c:v>04-Oct-2024</c:v>
                </c:pt>
                <c:pt idx="1453">
                  <c:v>08-Oct-2024</c:v>
                </c:pt>
                <c:pt idx="1454">
                  <c:v>09-Oct-2024</c:v>
                </c:pt>
                <c:pt idx="1455">
                  <c:v>10-Oct-2024</c:v>
                </c:pt>
                <c:pt idx="1456">
                  <c:v>11-Oct-2024</c:v>
                </c:pt>
                <c:pt idx="1457">
                  <c:v>14-Oct-2024</c:v>
                </c:pt>
                <c:pt idx="1458">
                  <c:v>15-Oct-2024</c:v>
                </c:pt>
                <c:pt idx="1459">
                  <c:v>16-Oct-2024</c:v>
                </c:pt>
                <c:pt idx="1460">
                  <c:v>17-Oct-2024</c:v>
                </c:pt>
                <c:pt idx="1461">
                  <c:v>18-Oct-2024</c:v>
                </c:pt>
                <c:pt idx="1462">
                  <c:v>21-Oct-2024</c:v>
                </c:pt>
                <c:pt idx="1463">
                  <c:v>22-Oct-2024</c:v>
                </c:pt>
                <c:pt idx="1464">
                  <c:v>23-Oct-2024</c:v>
                </c:pt>
                <c:pt idx="1465">
                  <c:v>24-Oct-2024</c:v>
                </c:pt>
                <c:pt idx="1466">
                  <c:v>25-Oct-2024</c:v>
                </c:pt>
                <c:pt idx="1467">
                  <c:v>28-Oct-2024</c:v>
                </c:pt>
                <c:pt idx="1468">
                  <c:v>29-Oct-2024</c:v>
                </c:pt>
                <c:pt idx="1469">
                  <c:v>30-Oct-2024</c:v>
                </c:pt>
                <c:pt idx="1470">
                  <c:v>31-Oct-2024</c:v>
                </c:pt>
                <c:pt idx="1471">
                  <c:v>01-Nov-2024</c:v>
                </c:pt>
                <c:pt idx="1472">
                  <c:v>04-Nov-2024</c:v>
                </c:pt>
                <c:pt idx="1473">
                  <c:v>05-Nov-2024</c:v>
                </c:pt>
                <c:pt idx="1474">
                  <c:v>06-Nov-2024</c:v>
                </c:pt>
                <c:pt idx="1475">
                  <c:v>07-Nov-2024</c:v>
                </c:pt>
                <c:pt idx="1476">
                  <c:v>08-Nov-2024</c:v>
                </c:pt>
                <c:pt idx="1477">
                  <c:v>11-Nov-2024</c:v>
                </c:pt>
                <c:pt idx="1478">
                  <c:v>12-Nov-2024</c:v>
                </c:pt>
                <c:pt idx="1479">
                  <c:v>13-Nov-2024</c:v>
                </c:pt>
                <c:pt idx="1480">
                  <c:v>14-Nov-2024</c:v>
                </c:pt>
                <c:pt idx="1481">
                  <c:v>15-Nov-2024</c:v>
                </c:pt>
                <c:pt idx="1482">
                  <c:v>18-Nov-2024</c:v>
                </c:pt>
                <c:pt idx="1483">
                  <c:v>19-Nov-2024</c:v>
                </c:pt>
                <c:pt idx="1484">
                  <c:v>20-Nov-2024</c:v>
                </c:pt>
                <c:pt idx="1485">
                  <c:v>21-Nov-2024</c:v>
                </c:pt>
                <c:pt idx="1486">
                  <c:v>22-Nov-2024</c:v>
                </c:pt>
                <c:pt idx="1487">
                  <c:v>25-Nov-2024</c:v>
                </c:pt>
                <c:pt idx="1488">
                  <c:v>26-Nov-2024</c:v>
                </c:pt>
                <c:pt idx="1489">
                  <c:v>27-Nov-2024</c:v>
                </c:pt>
                <c:pt idx="1490">
                  <c:v>28-Nov-2024</c:v>
                </c:pt>
                <c:pt idx="1491">
                  <c:v>29-Nov-2024</c:v>
                </c:pt>
                <c:pt idx="1492">
                  <c:v>02-Dec-2024</c:v>
                </c:pt>
                <c:pt idx="1493">
                  <c:v>03-Dec-2024</c:v>
                </c:pt>
                <c:pt idx="1494">
                  <c:v>04-Dec-2024</c:v>
                </c:pt>
                <c:pt idx="1495">
                  <c:v>05-Dec-2024</c:v>
                </c:pt>
                <c:pt idx="1496">
                  <c:v>06-Dec-2024</c:v>
                </c:pt>
                <c:pt idx="1497">
                  <c:v>09-Dec-2024</c:v>
                </c:pt>
                <c:pt idx="1498">
                  <c:v>10-Dec-2024</c:v>
                </c:pt>
                <c:pt idx="1499">
                  <c:v>11-Dec-2024</c:v>
                </c:pt>
                <c:pt idx="1500">
                  <c:v>12-Dec-2024</c:v>
                </c:pt>
                <c:pt idx="1501">
                  <c:v>13-Dec-2024</c:v>
                </c:pt>
                <c:pt idx="1502">
                  <c:v>16-Dec-2024</c:v>
                </c:pt>
                <c:pt idx="1503">
                  <c:v>17-Dec-2024</c:v>
                </c:pt>
                <c:pt idx="1504">
                  <c:v>18-Dec-2024</c:v>
                </c:pt>
                <c:pt idx="1505">
                  <c:v>19-Dec-2024</c:v>
                </c:pt>
                <c:pt idx="1506">
                  <c:v>20-Dec-2024</c:v>
                </c:pt>
                <c:pt idx="1507">
                  <c:v>23-Dec-2024</c:v>
                </c:pt>
                <c:pt idx="1508">
                  <c:v>24-Dec-2024</c:v>
                </c:pt>
                <c:pt idx="1509">
                  <c:v>27-Dec-2024</c:v>
                </c:pt>
                <c:pt idx="1510">
                  <c:v>30-Dec-2024</c:v>
                </c:pt>
                <c:pt idx="1511">
                  <c:v>31-Dec-2024</c:v>
                </c:pt>
                <c:pt idx="1512">
                  <c:v>02-Jan-2025</c:v>
                </c:pt>
                <c:pt idx="1513">
                  <c:v>03-Jan-2025</c:v>
                </c:pt>
                <c:pt idx="1514">
                  <c:v>06-Jan-2025</c:v>
                </c:pt>
                <c:pt idx="1515">
                  <c:v>07-Jan-2025</c:v>
                </c:pt>
                <c:pt idx="1516">
                  <c:v>08-Jan-2025</c:v>
                </c:pt>
                <c:pt idx="1517">
                  <c:v>09-Jan-2025</c:v>
                </c:pt>
                <c:pt idx="1518">
                  <c:v>10-Jan-2025</c:v>
                </c:pt>
                <c:pt idx="1519">
                  <c:v>13-Jan-2025</c:v>
                </c:pt>
                <c:pt idx="1520">
                  <c:v>14-Jan-2025</c:v>
                </c:pt>
                <c:pt idx="1521">
                  <c:v>15-Jan-2025</c:v>
                </c:pt>
                <c:pt idx="1522">
                  <c:v>16-Jan-2025</c:v>
                </c:pt>
                <c:pt idx="1523">
                  <c:v>17-Jan-2025</c:v>
                </c:pt>
                <c:pt idx="1524">
                  <c:v>20-Jan-2025</c:v>
                </c:pt>
                <c:pt idx="1525">
                  <c:v>21-Jan-2025</c:v>
                </c:pt>
                <c:pt idx="1526">
                  <c:v>22-Jan-2025</c:v>
                </c:pt>
                <c:pt idx="1527">
                  <c:v>23-Jan-2025</c:v>
                </c:pt>
                <c:pt idx="1528">
                  <c:v>24-Jan-2025</c:v>
                </c:pt>
                <c:pt idx="1529">
                  <c:v>28-Jan-2025</c:v>
                </c:pt>
                <c:pt idx="1530">
                  <c:v>29-Jan-2025</c:v>
                </c:pt>
                <c:pt idx="1531">
                  <c:v>30-Jan-2025</c:v>
                </c:pt>
                <c:pt idx="1532">
                  <c:v>31-Jan-2025</c:v>
                </c:pt>
                <c:pt idx="1533">
                  <c:v>03-Feb-2025</c:v>
                </c:pt>
                <c:pt idx="1534">
                  <c:v>04-Feb-2025</c:v>
                </c:pt>
                <c:pt idx="1535">
                  <c:v>05-Feb-2025</c:v>
                </c:pt>
                <c:pt idx="1536">
                  <c:v>06-Feb-2025</c:v>
                </c:pt>
                <c:pt idx="1537">
                  <c:v>07-Feb-2025</c:v>
                </c:pt>
                <c:pt idx="1538">
                  <c:v>10-Feb-2025</c:v>
                </c:pt>
                <c:pt idx="1539">
                  <c:v>11-Feb-2025</c:v>
                </c:pt>
                <c:pt idx="1540">
                  <c:v>12-Feb-2025</c:v>
                </c:pt>
                <c:pt idx="1541">
                  <c:v>13-Feb-2025</c:v>
                </c:pt>
                <c:pt idx="1542">
                  <c:v>14-Feb-2025</c:v>
                </c:pt>
                <c:pt idx="1543">
                  <c:v>17-Feb-2025</c:v>
                </c:pt>
                <c:pt idx="1544">
                  <c:v>18-Feb-2025</c:v>
                </c:pt>
                <c:pt idx="1545">
                  <c:v>19-Feb-2025</c:v>
                </c:pt>
                <c:pt idx="1546">
                  <c:v>20-Feb-2025</c:v>
                </c:pt>
                <c:pt idx="1547">
                  <c:v>21-Feb-2025</c:v>
                </c:pt>
                <c:pt idx="1548">
                  <c:v>24-Feb-2025</c:v>
                </c:pt>
                <c:pt idx="1549">
                  <c:v>25-Feb-2025</c:v>
                </c:pt>
                <c:pt idx="1550">
                  <c:v>26-Feb-2025</c:v>
                </c:pt>
                <c:pt idx="1551">
                  <c:v>27-Feb-2025</c:v>
                </c:pt>
                <c:pt idx="1552">
                  <c:v>28-Feb-2025</c:v>
                </c:pt>
                <c:pt idx="1553">
                  <c:v>03-Mar-2025</c:v>
                </c:pt>
                <c:pt idx="1554">
                  <c:v>04-Mar-2025</c:v>
                </c:pt>
                <c:pt idx="1555">
                  <c:v>05-Mar-2025</c:v>
                </c:pt>
                <c:pt idx="1556">
                  <c:v>06-Mar-2025</c:v>
                </c:pt>
                <c:pt idx="1557">
                  <c:v>07-Mar-2025</c:v>
                </c:pt>
                <c:pt idx="1558">
                  <c:v>10-Mar-2025</c:v>
                </c:pt>
                <c:pt idx="1559">
                  <c:v>11-Mar-2025</c:v>
                </c:pt>
                <c:pt idx="1560">
                  <c:v>12-Mar-2025</c:v>
                </c:pt>
                <c:pt idx="1561">
                  <c:v>13-Mar-2025</c:v>
                </c:pt>
                <c:pt idx="1562">
                  <c:v>14-Mar-2025</c:v>
                </c:pt>
                <c:pt idx="1563">
                  <c:v>17-Mar-2025</c:v>
                </c:pt>
                <c:pt idx="1564">
                  <c:v>18-Mar-2025</c:v>
                </c:pt>
                <c:pt idx="1565">
                  <c:v>19-Mar-2025</c:v>
                </c:pt>
                <c:pt idx="1566">
                  <c:v>20-Mar-2025</c:v>
                </c:pt>
                <c:pt idx="1567">
                  <c:v>21-Mar-2025</c:v>
                </c:pt>
                <c:pt idx="1568">
                  <c:v>24-Mar-2025</c:v>
                </c:pt>
                <c:pt idx="1569">
                  <c:v>25-Mar-2025</c:v>
                </c:pt>
                <c:pt idx="1570">
                  <c:v>26-Mar-2025</c:v>
                </c:pt>
                <c:pt idx="1571">
                  <c:v>27-Mar-2025</c:v>
                </c:pt>
                <c:pt idx="1572">
                  <c:v>28-Mar-2025</c:v>
                </c:pt>
                <c:pt idx="1573">
                  <c:v>31-Mar-2025</c:v>
                </c:pt>
                <c:pt idx="1574">
                  <c:v>01-Apr-2025</c:v>
                </c:pt>
                <c:pt idx="1575">
                  <c:v>02-Apr-2025</c:v>
                </c:pt>
                <c:pt idx="1576">
                  <c:v>03-Apr-2025</c:v>
                </c:pt>
                <c:pt idx="1577">
                  <c:v>04-Apr-2025</c:v>
                </c:pt>
                <c:pt idx="1578">
                  <c:v>07-Apr-2025</c:v>
                </c:pt>
                <c:pt idx="1579">
                  <c:v>08-Apr-2025</c:v>
                </c:pt>
                <c:pt idx="1580">
                  <c:v>09-Apr-2025</c:v>
                </c:pt>
              </c:strCache>
            </c:strRef>
          </c:cat>
          <c:val>
            <c:numRef>
              <c:f>'Risk Free Rate'!$B$10:$B$1590</c:f>
              <c:numCache>
                <c:formatCode>#0.000</c:formatCode>
                <c:ptCount val="1581"/>
                <c:pt idx="0">
                  <c:v>1.8520000000000001</c:v>
                </c:pt>
                <c:pt idx="1">
                  <c:v>1.7909999999999999</c:v>
                </c:pt>
                <c:pt idx="2">
                  <c:v>1.8340000000000001</c:v>
                </c:pt>
                <c:pt idx="3">
                  <c:v>1.849</c:v>
                </c:pt>
                <c:pt idx="4">
                  <c:v>1.87</c:v>
                </c:pt>
                <c:pt idx="5">
                  <c:v>1.8839999999999999</c:v>
                </c:pt>
                <c:pt idx="6">
                  <c:v>1.875</c:v>
                </c:pt>
                <c:pt idx="7">
                  <c:v>1.869</c:v>
                </c:pt>
                <c:pt idx="8">
                  <c:v>1.8460000000000001</c:v>
                </c:pt>
                <c:pt idx="9">
                  <c:v>1.859</c:v>
                </c:pt>
                <c:pt idx="10">
                  <c:v>1.845</c:v>
                </c:pt>
                <c:pt idx="11">
                  <c:v>1.8460000000000001</c:v>
                </c:pt>
                <c:pt idx="12">
                  <c:v>1.867</c:v>
                </c:pt>
                <c:pt idx="13">
                  <c:v>1.869</c:v>
                </c:pt>
                <c:pt idx="14">
                  <c:v>1.867</c:v>
                </c:pt>
                <c:pt idx="15">
                  <c:v>1.853</c:v>
                </c:pt>
                <c:pt idx="16">
                  <c:v>1.823</c:v>
                </c:pt>
                <c:pt idx="17">
                  <c:v>1.784</c:v>
                </c:pt>
                <c:pt idx="18">
                  <c:v>1.7929999999999999</c:v>
                </c:pt>
                <c:pt idx="19">
                  <c:v>1.8260000000000001</c:v>
                </c:pt>
                <c:pt idx="20">
                  <c:v>1.819</c:v>
                </c:pt>
                <c:pt idx="21">
                  <c:v>1.8049999999999999</c:v>
                </c:pt>
                <c:pt idx="22">
                  <c:v>1.8180000000000001</c:v>
                </c:pt>
                <c:pt idx="23">
                  <c:v>1.8280000000000001</c:v>
                </c:pt>
                <c:pt idx="24">
                  <c:v>1.7450000000000001</c:v>
                </c:pt>
                <c:pt idx="25">
                  <c:v>1.73</c:v>
                </c:pt>
                <c:pt idx="26">
                  <c:v>1.694</c:v>
                </c:pt>
                <c:pt idx="27">
                  <c:v>1.6990000000000001</c:v>
                </c:pt>
                <c:pt idx="28">
                  <c:v>1.7290000000000001</c:v>
                </c:pt>
                <c:pt idx="29">
                  <c:v>1.7549999999999999</c:v>
                </c:pt>
                <c:pt idx="30">
                  <c:v>1.76</c:v>
                </c:pt>
                <c:pt idx="31">
                  <c:v>1.7330000000000001</c:v>
                </c:pt>
                <c:pt idx="32">
                  <c:v>1.764</c:v>
                </c:pt>
                <c:pt idx="33">
                  <c:v>1.7589999999999999</c:v>
                </c:pt>
                <c:pt idx="34">
                  <c:v>1.7210000000000001</c:v>
                </c:pt>
                <c:pt idx="35">
                  <c:v>1.667</c:v>
                </c:pt>
                <c:pt idx="36">
                  <c:v>1.706</c:v>
                </c:pt>
                <c:pt idx="37">
                  <c:v>1.722</c:v>
                </c:pt>
                <c:pt idx="38">
                  <c:v>1.7210000000000001</c:v>
                </c:pt>
                <c:pt idx="39">
                  <c:v>1.7010000000000001</c:v>
                </c:pt>
                <c:pt idx="40">
                  <c:v>1.6970000000000001</c:v>
                </c:pt>
                <c:pt idx="41">
                  <c:v>1.738</c:v>
                </c:pt>
                <c:pt idx="42">
                  <c:v>1.7509999999999999</c:v>
                </c:pt>
                <c:pt idx="43">
                  <c:v>1.726</c:v>
                </c:pt>
                <c:pt idx="44">
                  <c:v>1.6659999999999999</c:v>
                </c:pt>
                <c:pt idx="45">
                  <c:v>1.6759999999999999</c:v>
                </c:pt>
                <c:pt idx="46">
                  <c:v>1.6579999999999999</c:v>
                </c:pt>
                <c:pt idx="47">
                  <c:v>1.6639999999999999</c:v>
                </c:pt>
                <c:pt idx="48">
                  <c:v>1.665</c:v>
                </c:pt>
                <c:pt idx="49">
                  <c:v>1.6</c:v>
                </c:pt>
                <c:pt idx="50">
                  <c:v>1.587</c:v>
                </c:pt>
                <c:pt idx="51">
                  <c:v>1.595</c:v>
                </c:pt>
                <c:pt idx="52">
                  <c:v>1.6060000000000001</c:v>
                </c:pt>
                <c:pt idx="53">
                  <c:v>1.5669999999999999</c:v>
                </c:pt>
                <c:pt idx="54">
                  <c:v>1.5529999999999999</c:v>
                </c:pt>
                <c:pt idx="55">
                  <c:v>1.534</c:v>
                </c:pt>
                <c:pt idx="56">
                  <c:v>1.5029999999999999</c:v>
                </c:pt>
                <c:pt idx="57">
                  <c:v>1.4770000000000001</c:v>
                </c:pt>
                <c:pt idx="58">
                  <c:v>1.5169999999999999</c:v>
                </c:pt>
                <c:pt idx="59">
                  <c:v>1.4830000000000001</c:v>
                </c:pt>
                <c:pt idx="60">
                  <c:v>1.462</c:v>
                </c:pt>
                <c:pt idx="61">
                  <c:v>1.4690000000000001</c:v>
                </c:pt>
                <c:pt idx="62">
                  <c:v>1.4850000000000001</c:v>
                </c:pt>
                <c:pt idx="63">
                  <c:v>1.452</c:v>
                </c:pt>
                <c:pt idx="64">
                  <c:v>1.462</c:v>
                </c:pt>
                <c:pt idx="65">
                  <c:v>1.494</c:v>
                </c:pt>
                <c:pt idx="66">
                  <c:v>1.506</c:v>
                </c:pt>
                <c:pt idx="67">
                  <c:v>1.48</c:v>
                </c:pt>
                <c:pt idx="68">
                  <c:v>1.4870000000000001</c:v>
                </c:pt>
                <c:pt idx="69">
                  <c:v>1.4910000000000001</c:v>
                </c:pt>
                <c:pt idx="70">
                  <c:v>1.4890000000000001</c:v>
                </c:pt>
                <c:pt idx="71">
                  <c:v>1.496</c:v>
                </c:pt>
                <c:pt idx="72">
                  <c:v>1.528</c:v>
                </c:pt>
                <c:pt idx="73">
                  <c:v>1.502</c:v>
                </c:pt>
                <c:pt idx="74">
                  <c:v>1.5069999999999999</c:v>
                </c:pt>
                <c:pt idx="75">
                  <c:v>1.514</c:v>
                </c:pt>
                <c:pt idx="76">
                  <c:v>1.4750000000000001</c:v>
                </c:pt>
                <c:pt idx="77">
                  <c:v>1.323</c:v>
                </c:pt>
                <c:pt idx="78">
                  <c:v>1.337</c:v>
                </c:pt>
                <c:pt idx="79">
                  <c:v>1.341</c:v>
                </c:pt>
                <c:pt idx="80">
                  <c:v>1.3240000000000001</c:v>
                </c:pt>
                <c:pt idx="81">
                  <c:v>1.319</c:v>
                </c:pt>
                <c:pt idx="82">
                  <c:v>1.32</c:v>
                </c:pt>
                <c:pt idx="83">
                  <c:v>1.3169999999999999</c:v>
                </c:pt>
                <c:pt idx="84">
                  <c:v>1.284</c:v>
                </c:pt>
                <c:pt idx="85">
                  <c:v>1.363</c:v>
                </c:pt>
                <c:pt idx="86">
                  <c:v>1.329</c:v>
                </c:pt>
                <c:pt idx="87">
                  <c:v>1.3089999999999999</c:v>
                </c:pt>
                <c:pt idx="88">
                  <c:v>1.3149999999999999</c:v>
                </c:pt>
                <c:pt idx="89">
                  <c:v>1.3049999999999999</c:v>
                </c:pt>
                <c:pt idx="90">
                  <c:v>1.2809999999999999</c:v>
                </c:pt>
                <c:pt idx="91">
                  <c:v>1.2789999999999999</c:v>
                </c:pt>
                <c:pt idx="92">
                  <c:v>1.224</c:v>
                </c:pt>
                <c:pt idx="93">
                  <c:v>1.21</c:v>
                </c:pt>
                <c:pt idx="94">
                  <c:v>1.2529999999999999</c:v>
                </c:pt>
                <c:pt idx="95">
                  <c:v>1.1990000000000001</c:v>
                </c:pt>
                <c:pt idx="96">
                  <c:v>1.1950000000000001</c:v>
                </c:pt>
                <c:pt idx="97">
                  <c:v>1.1499999999999999</c:v>
                </c:pt>
                <c:pt idx="98">
                  <c:v>1.105</c:v>
                </c:pt>
                <c:pt idx="99">
                  <c:v>1.1359999999999999</c:v>
                </c:pt>
                <c:pt idx="100">
                  <c:v>1.127</c:v>
                </c:pt>
                <c:pt idx="101">
                  <c:v>1.1060000000000001</c:v>
                </c:pt>
                <c:pt idx="102">
                  <c:v>1.141</c:v>
                </c:pt>
                <c:pt idx="103">
                  <c:v>1.111</c:v>
                </c:pt>
                <c:pt idx="104">
                  <c:v>1.129</c:v>
                </c:pt>
                <c:pt idx="105">
                  <c:v>1.121</c:v>
                </c:pt>
                <c:pt idx="106">
                  <c:v>1.083</c:v>
                </c:pt>
                <c:pt idx="107">
                  <c:v>1.0609999999999999</c:v>
                </c:pt>
                <c:pt idx="108">
                  <c:v>1.075</c:v>
                </c:pt>
                <c:pt idx="109">
                  <c:v>1.06</c:v>
                </c:pt>
                <c:pt idx="110">
                  <c:v>1.04</c:v>
                </c:pt>
                <c:pt idx="111">
                  <c:v>1.008</c:v>
                </c:pt>
                <c:pt idx="112">
                  <c:v>0.997</c:v>
                </c:pt>
                <c:pt idx="113">
                  <c:v>1.03</c:v>
                </c:pt>
                <c:pt idx="114">
                  <c:v>1.01</c:v>
                </c:pt>
                <c:pt idx="115">
                  <c:v>0.97599999999999998</c:v>
                </c:pt>
                <c:pt idx="116">
                  <c:v>0.93100000000000005</c:v>
                </c:pt>
                <c:pt idx="117">
                  <c:v>0.90600000000000003</c:v>
                </c:pt>
                <c:pt idx="118">
                  <c:v>0.91200000000000003</c:v>
                </c:pt>
                <c:pt idx="119">
                  <c:v>0.90500000000000003</c:v>
                </c:pt>
                <c:pt idx="120">
                  <c:v>0.94499999999999995</c:v>
                </c:pt>
                <c:pt idx="121">
                  <c:v>0.98399999999999999</c:v>
                </c:pt>
                <c:pt idx="122">
                  <c:v>0.97299999999999998</c:v>
                </c:pt>
                <c:pt idx="123">
                  <c:v>0.98199999999999998</c:v>
                </c:pt>
                <c:pt idx="124">
                  <c:v>0.96899999999999997</c:v>
                </c:pt>
                <c:pt idx="125">
                  <c:v>0.92800000000000005</c:v>
                </c:pt>
                <c:pt idx="126">
                  <c:v>0.94</c:v>
                </c:pt>
                <c:pt idx="127">
                  <c:v>0.94</c:v>
                </c:pt>
                <c:pt idx="128">
                  <c:v>0.96099999999999997</c:v>
                </c:pt>
                <c:pt idx="129">
                  <c:v>0.95699999999999996</c:v>
                </c:pt>
                <c:pt idx="130">
                  <c:v>0.98199999999999998</c:v>
                </c:pt>
                <c:pt idx="131">
                  <c:v>0.94599999999999995</c:v>
                </c:pt>
                <c:pt idx="132">
                  <c:v>0.98899999999999999</c:v>
                </c:pt>
                <c:pt idx="133">
                  <c:v>0.998</c:v>
                </c:pt>
                <c:pt idx="134">
                  <c:v>0.96299999999999997</c:v>
                </c:pt>
                <c:pt idx="135">
                  <c:v>0.94799999999999995</c:v>
                </c:pt>
                <c:pt idx="136">
                  <c:v>0.94099999999999995</c:v>
                </c:pt>
                <c:pt idx="137">
                  <c:v>0.95599999999999996</c:v>
                </c:pt>
                <c:pt idx="138">
                  <c:v>0.94599999999999995</c:v>
                </c:pt>
                <c:pt idx="139">
                  <c:v>0.94</c:v>
                </c:pt>
                <c:pt idx="140">
                  <c:v>0.90700000000000003</c:v>
                </c:pt>
                <c:pt idx="141">
                  <c:v>0.86499999999999999</c:v>
                </c:pt>
                <c:pt idx="142">
                  <c:v>0.87</c:v>
                </c:pt>
                <c:pt idx="143">
                  <c:v>0.85199999999999998</c:v>
                </c:pt>
                <c:pt idx="144">
                  <c:v>0.84199999999999997</c:v>
                </c:pt>
                <c:pt idx="145">
                  <c:v>0.83</c:v>
                </c:pt>
                <c:pt idx="146">
                  <c:v>0.86299999999999999</c:v>
                </c:pt>
                <c:pt idx="147">
                  <c:v>0.78200000000000003</c:v>
                </c:pt>
                <c:pt idx="148">
                  <c:v>0.746</c:v>
                </c:pt>
                <c:pt idx="149">
                  <c:v>0.749</c:v>
                </c:pt>
                <c:pt idx="150">
                  <c:v>0.70399999999999996</c:v>
                </c:pt>
                <c:pt idx="151">
                  <c:v>0.73299999999999998</c:v>
                </c:pt>
                <c:pt idx="152">
                  <c:v>0.71599999999999997</c:v>
                </c:pt>
                <c:pt idx="153">
                  <c:v>0.71399999999999997</c:v>
                </c:pt>
                <c:pt idx="154">
                  <c:v>0.70699999999999996</c:v>
                </c:pt>
                <c:pt idx="155">
                  <c:v>0.71199999999999997</c:v>
                </c:pt>
                <c:pt idx="156">
                  <c:v>0.71399999999999997</c:v>
                </c:pt>
                <c:pt idx="157">
                  <c:v>0.71899999999999997</c:v>
                </c:pt>
                <c:pt idx="158">
                  <c:v>0.72899999999999998</c:v>
                </c:pt>
                <c:pt idx="159">
                  <c:v>0.72799999999999998</c:v>
                </c:pt>
                <c:pt idx="160">
                  <c:v>0.72199999999999998</c:v>
                </c:pt>
                <c:pt idx="161">
                  <c:v>0.71899999999999997</c:v>
                </c:pt>
                <c:pt idx="162">
                  <c:v>0.74299999999999999</c:v>
                </c:pt>
                <c:pt idx="163">
                  <c:v>0.69799999999999995</c:v>
                </c:pt>
                <c:pt idx="164">
                  <c:v>0.72699999999999998</c:v>
                </c:pt>
                <c:pt idx="165">
                  <c:v>0.71599999999999997</c:v>
                </c:pt>
                <c:pt idx="166">
                  <c:v>0.70799999999999996</c:v>
                </c:pt>
                <c:pt idx="167">
                  <c:v>0.70599999999999996</c:v>
                </c:pt>
                <c:pt idx="168">
                  <c:v>0.72299999999999998</c:v>
                </c:pt>
                <c:pt idx="169">
                  <c:v>0.73199999999999998</c:v>
                </c:pt>
                <c:pt idx="170">
                  <c:v>0.754</c:v>
                </c:pt>
                <c:pt idx="171">
                  <c:v>0.78500000000000003</c:v>
                </c:pt>
                <c:pt idx="172">
                  <c:v>0.85099999999999998</c:v>
                </c:pt>
                <c:pt idx="173">
                  <c:v>0.84099999999999997</c:v>
                </c:pt>
                <c:pt idx="174">
                  <c:v>0.86399999999999999</c:v>
                </c:pt>
                <c:pt idx="175">
                  <c:v>0.89600000000000002</c:v>
                </c:pt>
                <c:pt idx="176">
                  <c:v>0.89700000000000002</c:v>
                </c:pt>
                <c:pt idx="177">
                  <c:v>0.90300000000000002</c:v>
                </c:pt>
                <c:pt idx="178">
                  <c:v>0.92300000000000004</c:v>
                </c:pt>
                <c:pt idx="179">
                  <c:v>0.86899999999999999</c:v>
                </c:pt>
                <c:pt idx="180">
                  <c:v>0.872</c:v>
                </c:pt>
                <c:pt idx="181">
                  <c:v>0.79</c:v>
                </c:pt>
                <c:pt idx="182">
                  <c:v>0.75700000000000001</c:v>
                </c:pt>
                <c:pt idx="183">
                  <c:v>0.753</c:v>
                </c:pt>
                <c:pt idx="184">
                  <c:v>0.73899999999999999</c:v>
                </c:pt>
                <c:pt idx="185">
                  <c:v>0.73099999999999998</c:v>
                </c:pt>
                <c:pt idx="186">
                  <c:v>0.72499999999999998</c:v>
                </c:pt>
                <c:pt idx="187">
                  <c:v>0.72499999999999998</c:v>
                </c:pt>
                <c:pt idx="188">
                  <c:v>0.75700000000000001</c:v>
                </c:pt>
                <c:pt idx="189">
                  <c:v>0.68</c:v>
                </c:pt>
                <c:pt idx="190">
                  <c:v>0.64900000000000002</c:v>
                </c:pt>
                <c:pt idx="191">
                  <c:v>0.63</c:v>
                </c:pt>
                <c:pt idx="192">
                  <c:v>0.61799999999999999</c:v>
                </c:pt>
                <c:pt idx="193">
                  <c:v>0.624</c:v>
                </c:pt>
                <c:pt idx="194">
                  <c:v>0.622</c:v>
                </c:pt>
                <c:pt idx="195">
                  <c:v>0.61799999999999999</c:v>
                </c:pt>
                <c:pt idx="196">
                  <c:v>0.68799999999999994</c:v>
                </c:pt>
                <c:pt idx="197">
                  <c:v>0.70699999999999996</c:v>
                </c:pt>
                <c:pt idx="198">
                  <c:v>0.69199999999999995</c:v>
                </c:pt>
                <c:pt idx="199">
                  <c:v>0.71099999999999997</c:v>
                </c:pt>
                <c:pt idx="200">
                  <c:v>0.75600000000000001</c:v>
                </c:pt>
                <c:pt idx="201">
                  <c:v>0.76700000000000002</c:v>
                </c:pt>
                <c:pt idx="202">
                  <c:v>0.78600000000000003</c:v>
                </c:pt>
                <c:pt idx="203">
                  <c:v>0.79</c:v>
                </c:pt>
                <c:pt idx="204">
                  <c:v>0.75700000000000001</c:v>
                </c:pt>
                <c:pt idx="205">
                  <c:v>0.74399999999999999</c:v>
                </c:pt>
                <c:pt idx="206">
                  <c:v>0.73199999999999998</c:v>
                </c:pt>
                <c:pt idx="207">
                  <c:v>0.754</c:v>
                </c:pt>
                <c:pt idx="208">
                  <c:v>0.82299999999999995</c:v>
                </c:pt>
                <c:pt idx="209">
                  <c:v>0.79700000000000004</c:v>
                </c:pt>
                <c:pt idx="210">
                  <c:v>0.82399999999999995</c:v>
                </c:pt>
                <c:pt idx="211">
                  <c:v>0.80500000000000005</c:v>
                </c:pt>
                <c:pt idx="212">
                  <c:v>0.84599999999999997</c:v>
                </c:pt>
                <c:pt idx="213">
                  <c:v>0.873</c:v>
                </c:pt>
                <c:pt idx="214">
                  <c:v>0.89500000000000002</c:v>
                </c:pt>
                <c:pt idx="215">
                  <c:v>0.85799999999999998</c:v>
                </c:pt>
                <c:pt idx="216">
                  <c:v>0.88700000000000001</c:v>
                </c:pt>
                <c:pt idx="217">
                  <c:v>0.872</c:v>
                </c:pt>
                <c:pt idx="218">
                  <c:v>0.85199999999999998</c:v>
                </c:pt>
                <c:pt idx="219">
                  <c:v>0.83699999999999997</c:v>
                </c:pt>
                <c:pt idx="220">
                  <c:v>0.76600000000000001</c:v>
                </c:pt>
                <c:pt idx="221">
                  <c:v>0.77800000000000002</c:v>
                </c:pt>
                <c:pt idx="222">
                  <c:v>0.77800000000000002</c:v>
                </c:pt>
                <c:pt idx="223">
                  <c:v>0.751</c:v>
                </c:pt>
                <c:pt idx="224">
                  <c:v>0.746</c:v>
                </c:pt>
                <c:pt idx="225">
                  <c:v>0.754</c:v>
                </c:pt>
                <c:pt idx="226">
                  <c:v>0.76100000000000001</c:v>
                </c:pt>
                <c:pt idx="227">
                  <c:v>0.76400000000000001</c:v>
                </c:pt>
                <c:pt idx="228">
                  <c:v>0.76400000000000001</c:v>
                </c:pt>
                <c:pt idx="229">
                  <c:v>0.68300000000000005</c:v>
                </c:pt>
                <c:pt idx="230">
                  <c:v>0.65500000000000003</c:v>
                </c:pt>
                <c:pt idx="231">
                  <c:v>0.67900000000000005</c:v>
                </c:pt>
                <c:pt idx="232">
                  <c:v>0.71099999999999997</c:v>
                </c:pt>
                <c:pt idx="233">
                  <c:v>0.78600000000000003</c:v>
                </c:pt>
                <c:pt idx="234">
                  <c:v>0.70799999999999996</c:v>
                </c:pt>
                <c:pt idx="235">
                  <c:v>0.71299999999999997</c:v>
                </c:pt>
                <c:pt idx="236">
                  <c:v>0.73099999999999998</c:v>
                </c:pt>
                <c:pt idx="237">
                  <c:v>0.746</c:v>
                </c:pt>
                <c:pt idx="238">
                  <c:v>0.72499999999999998</c:v>
                </c:pt>
                <c:pt idx="239">
                  <c:v>0.75900000000000001</c:v>
                </c:pt>
                <c:pt idx="240">
                  <c:v>0.745</c:v>
                </c:pt>
                <c:pt idx="241">
                  <c:v>0.81799999999999995</c:v>
                </c:pt>
                <c:pt idx="242">
                  <c:v>0.77</c:v>
                </c:pt>
                <c:pt idx="243">
                  <c:v>0.746</c:v>
                </c:pt>
                <c:pt idx="244">
                  <c:v>0.78</c:v>
                </c:pt>
                <c:pt idx="245">
                  <c:v>0.84</c:v>
                </c:pt>
                <c:pt idx="246">
                  <c:v>0.876</c:v>
                </c:pt>
                <c:pt idx="247">
                  <c:v>0.88800000000000001</c:v>
                </c:pt>
                <c:pt idx="248">
                  <c:v>0.90300000000000002</c:v>
                </c:pt>
                <c:pt idx="249">
                  <c:v>0.91</c:v>
                </c:pt>
                <c:pt idx="250">
                  <c:v>0.9</c:v>
                </c:pt>
                <c:pt idx="251">
                  <c:v>0.92200000000000004</c:v>
                </c:pt>
                <c:pt idx="252">
                  <c:v>0.876</c:v>
                </c:pt>
                <c:pt idx="253">
                  <c:v>0.82199999999999995</c:v>
                </c:pt>
                <c:pt idx="254">
                  <c:v>0.79400000000000004</c:v>
                </c:pt>
                <c:pt idx="255">
                  <c:v>0.79200000000000004</c:v>
                </c:pt>
                <c:pt idx="256">
                  <c:v>0.77200000000000002</c:v>
                </c:pt>
                <c:pt idx="257">
                  <c:v>0.80200000000000005</c:v>
                </c:pt>
                <c:pt idx="258">
                  <c:v>0.81299999999999994</c:v>
                </c:pt>
                <c:pt idx="259">
                  <c:v>0.8</c:v>
                </c:pt>
                <c:pt idx="260">
                  <c:v>0.81799999999999995</c:v>
                </c:pt>
                <c:pt idx="261">
                  <c:v>0.80400000000000005</c:v>
                </c:pt>
                <c:pt idx="262">
                  <c:v>0.78</c:v>
                </c:pt>
                <c:pt idx="263">
                  <c:v>0.77100000000000002</c:v>
                </c:pt>
                <c:pt idx="264">
                  <c:v>0.76</c:v>
                </c:pt>
                <c:pt idx="265">
                  <c:v>0.75</c:v>
                </c:pt>
                <c:pt idx="266">
                  <c:v>0.71499999999999997</c:v>
                </c:pt>
                <c:pt idx="267">
                  <c:v>0.74199999999999999</c:v>
                </c:pt>
                <c:pt idx="268">
                  <c:v>0.751</c:v>
                </c:pt>
                <c:pt idx="269">
                  <c:v>0.66</c:v>
                </c:pt>
                <c:pt idx="270">
                  <c:v>0.69799999999999995</c:v>
                </c:pt>
                <c:pt idx="271">
                  <c:v>0.65200000000000002</c:v>
                </c:pt>
                <c:pt idx="272">
                  <c:v>0.64800000000000002</c:v>
                </c:pt>
                <c:pt idx="273">
                  <c:v>0.62</c:v>
                </c:pt>
                <c:pt idx="274">
                  <c:v>0.64700000000000002</c:v>
                </c:pt>
                <c:pt idx="275">
                  <c:v>0.74099999999999999</c:v>
                </c:pt>
                <c:pt idx="276">
                  <c:v>0.78600000000000003</c:v>
                </c:pt>
                <c:pt idx="277">
                  <c:v>0.745</c:v>
                </c:pt>
                <c:pt idx="278">
                  <c:v>0.72599999999999998</c:v>
                </c:pt>
                <c:pt idx="279">
                  <c:v>0.73499999999999999</c:v>
                </c:pt>
                <c:pt idx="280">
                  <c:v>0.76400000000000001</c:v>
                </c:pt>
                <c:pt idx="281">
                  <c:v>0.75800000000000001</c:v>
                </c:pt>
                <c:pt idx="282">
                  <c:v>0.75</c:v>
                </c:pt>
                <c:pt idx="283">
                  <c:v>0.75600000000000001</c:v>
                </c:pt>
                <c:pt idx="284">
                  <c:v>0.74299999999999999</c:v>
                </c:pt>
                <c:pt idx="285">
                  <c:v>0.74399999999999999</c:v>
                </c:pt>
                <c:pt idx="286">
                  <c:v>0.70299999999999996</c:v>
                </c:pt>
                <c:pt idx="287">
                  <c:v>0.66300000000000003</c:v>
                </c:pt>
                <c:pt idx="288">
                  <c:v>0.64800000000000002</c:v>
                </c:pt>
                <c:pt idx="289">
                  <c:v>0.65700000000000003</c:v>
                </c:pt>
                <c:pt idx="290">
                  <c:v>0.63500000000000001</c:v>
                </c:pt>
                <c:pt idx="291">
                  <c:v>0.59099999999999997</c:v>
                </c:pt>
                <c:pt idx="292">
                  <c:v>0.53400000000000003</c:v>
                </c:pt>
                <c:pt idx="293">
                  <c:v>0.46800000000000003</c:v>
                </c:pt>
                <c:pt idx="294">
                  <c:v>0.45700000000000002</c:v>
                </c:pt>
                <c:pt idx="295">
                  <c:v>0.38700000000000001</c:v>
                </c:pt>
                <c:pt idx="296">
                  <c:v>0.42</c:v>
                </c:pt>
                <c:pt idx="297">
                  <c:v>0.38800000000000001</c:v>
                </c:pt>
                <c:pt idx="298">
                  <c:v>0.41299999999999998</c:v>
                </c:pt>
                <c:pt idx="299">
                  <c:v>0.496</c:v>
                </c:pt>
                <c:pt idx="300">
                  <c:v>0.42199999999999999</c:v>
                </c:pt>
                <c:pt idx="301">
                  <c:v>0.433</c:v>
                </c:pt>
                <c:pt idx="302">
                  <c:v>0.56599999999999995</c:v>
                </c:pt>
                <c:pt idx="303">
                  <c:v>0.504</c:v>
                </c:pt>
                <c:pt idx="304">
                  <c:v>0.52500000000000002</c:v>
                </c:pt>
                <c:pt idx="305">
                  <c:v>0.51500000000000001</c:v>
                </c:pt>
                <c:pt idx="306">
                  <c:v>0.33400000000000002</c:v>
                </c:pt>
                <c:pt idx="307">
                  <c:v>0.28199999999999997</c:v>
                </c:pt>
                <c:pt idx="308">
                  <c:v>0.28699999999999998</c:v>
                </c:pt>
                <c:pt idx="309">
                  <c:v>0.28499999999999998</c:v>
                </c:pt>
                <c:pt idx="310">
                  <c:v>0.28799999999999998</c:v>
                </c:pt>
                <c:pt idx="311">
                  <c:v>0.26800000000000002</c:v>
                </c:pt>
                <c:pt idx="312">
                  <c:v>0.254</c:v>
                </c:pt>
                <c:pt idx="313">
                  <c:v>0.255</c:v>
                </c:pt>
                <c:pt idx="314">
                  <c:v>0.24399999999999999</c:v>
                </c:pt>
                <c:pt idx="315">
                  <c:v>0.21199999999999999</c:v>
                </c:pt>
                <c:pt idx="316">
                  <c:v>0.219</c:v>
                </c:pt>
                <c:pt idx="317">
                  <c:v>0.21199999999999999</c:v>
                </c:pt>
                <c:pt idx="318">
                  <c:v>0.22</c:v>
                </c:pt>
                <c:pt idx="319">
                  <c:v>0.224</c:v>
                </c:pt>
                <c:pt idx="320">
                  <c:v>0.219</c:v>
                </c:pt>
                <c:pt idx="321">
                  <c:v>0.23100000000000001</c:v>
                </c:pt>
                <c:pt idx="322">
                  <c:v>0.22600000000000001</c:v>
                </c:pt>
                <c:pt idx="323">
                  <c:v>0.23100000000000001</c:v>
                </c:pt>
                <c:pt idx="324">
                  <c:v>0.221</c:v>
                </c:pt>
                <c:pt idx="325">
                  <c:v>0.22500000000000001</c:v>
                </c:pt>
                <c:pt idx="326">
                  <c:v>0.22800000000000001</c:v>
                </c:pt>
                <c:pt idx="327">
                  <c:v>0.224</c:v>
                </c:pt>
                <c:pt idx="328">
                  <c:v>0.222</c:v>
                </c:pt>
                <c:pt idx="329">
                  <c:v>0.22700000000000001</c:v>
                </c:pt>
                <c:pt idx="330">
                  <c:v>0.22800000000000001</c:v>
                </c:pt>
                <c:pt idx="331">
                  <c:v>0.23100000000000001</c:v>
                </c:pt>
                <c:pt idx="332">
                  <c:v>0.22800000000000001</c:v>
                </c:pt>
                <c:pt idx="333">
                  <c:v>0.22700000000000001</c:v>
                </c:pt>
                <c:pt idx="334">
                  <c:v>0.222</c:v>
                </c:pt>
                <c:pt idx="335">
                  <c:v>0.221</c:v>
                </c:pt>
                <c:pt idx="336">
                  <c:v>0.22</c:v>
                </c:pt>
                <c:pt idx="337">
                  <c:v>0.218</c:v>
                </c:pt>
                <c:pt idx="338">
                  <c:v>0.22800000000000001</c:v>
                </c:pt>
                <c:pt idx="339">
                  <c:v>0.22600000000000001</c:v>
                </c:pt>
                <c:pt idx="340">
                  <c:v>0.219</c:v>
                </c:pt>
                <c:pt idx="341">
                  <c:v>0.219</c:v>
                </c:pt>
                <c:pt idx="342">
                  <c:v>0.22800000000000001</c:v>
                </c:pt>
                <c:pt idx="343">
                  <c:v>0.23699999999999999</c:v>
                </c:pt>
                <c:pt idx="344">
                  <c:v>0.251</c:v>
                </c:pt>
                <c:pt idx="345">
                  <c:v>0.251</c:v>
                </c:pt>
                <c:pt idx="346">
                  <c:v>0.255</c:v>
                </c:pt>
                <c:pt idx="347">
                  <c:v>0.26200000000000001</c:v>
                </c:pt>
                <c:pt idx="348">
                  <c:v>0.25900000000000001</c:v>
                </c:pt>
                <c:pt idx="349">
                  <c:v>0.25600000000000001</c:v>
                </c:pt>
                <c:pt idx="350">
                  <c:v>0.25700000000000001</c:v>
                </c:pt>
                <c:pt idx="351">
                  <c:v>0.26</c:v>
                </c:pt>
                <c:pt idx="352">
                  <c:v>0.26300000000000001</c:v>
                </c:pt>
                <c:pt idx="353">
                  <c:v>0.26200000000000001</c:v>
                </c:pt>
                <c:pt idx="354">
                  <c:v>0.26300000000000001</c:v>
                </c:pt>
                <c:pt idx="355">
                  <c:v>0.26400000000000001</c:v>
                </c:pt>
                <c:pt idx="356">
                  <c:v>0.26800000000000002</c:v>
                </c:pt>
                <c:pt idx="357">
                  <c:v>0.26600000000000001</c:v>
                </c:pt>
                <c:pt idx="358">
                  <c:v>0.27400000000000002</c:v>
                </c:pt>
                <c:pt idx="359">
                  <c:v>0.28199999999999997</c:v>
                </c:pt>
                <c:pt idx="360">
                  <c:v>0.28399999999999997</c:v>
                </c:pt>
                <c:pt idx="361">
                  <c:v>0.28100000000000003</c:v>
                </c:pt>
                <c:pt idx="362">
                  <c:v>0.28100000000000003</c:v>
                </c:pt>
                <c:pt idx="363">
                  <c:v>0.27100000000000002</c:v>
                </c:pt>
                <c:pt idx="364">
                  <c:v>0.27</c:v>
                </c:pt>
                <c:pt idx="365">
                  <c:v>0.26500000000000001</c:v>
                </c:pt>
                <c:pt idx="366">
                  <c:v>0.26400000000000001</c:v>
                </c:pt>
                <c:pt idx="367">
                  <c:v>0.26400000000000001</c:v>
                </c:pt>
                <c:pt idx="368">
                  <c:v>0.26</c:v>
                </c:pt>
                <c:pt idx="369">
                  <c:v>0.26300000000000001</c:v>
                </c:pt>
                <c:pt idx="370">
                  <c:v>0.26100000000000001</c:v>
                </c:pt>
                <c:pt idx="371">
                  <c:v>0.25900000000000001</c:v>
                </c:pt>
                <c:pt idx="372">
                  <c:v>0.252</c:v>
                </c:pt>
                <c:pt idx="373">
                  <c:v>0.25</c:v>
                </c:pt>
                <c:pt idx="374">
                  <c:v>0.248</c:v>
                </c:pt>
                <c:pt idx="375">
                  <c:v>0.25</c:v>
                </c:pt>
                <c:pt idx="376">
                  <c:v>0.249</c:v>
                </c:pt>
                <c:pt idx="377">
                  <c:v>0.253</c:v>
                </c:pt>
                <c:pt idx="378">
                  <c:v>0.25</c:v>
                </c:pt>
                <c:pt idx="379">
                  <c:v>0.252</c:v>
                </c:pt>
                <c:pt idx="380">
                  <c:v>0.254</c:v>
                </c:pt>
                <c:pt idx="381">
                  <c:v>0.253</c:v>
                </c:pt>
                <c:pt idx="382">
                  <c:v>0.249</c:v>
                </c:pt>
                <c:pt idx="383">
                  <c:v>0.251</c:v>
                </c:pt>
                <c:pt idx="384">
                  <c:v>0.25</c:v>
                </c:pt>
                <c:pt idx="385">
                  <c:v>0.25700000000000001</c:v>
                </c:pt>
                <c:pt idx="386">
                  <c:v>0.26100000000000001</c:v>
                </c:pt>
                <c:pt idx="387">
                  <c:v>0.25700000000000001</c:v>
                </c:pt>
                <c:pt idx="388">
                  <c:v>0.25600000000000001</c:v>
                </c:pt>
                <c:pt idx="389">
                  <c:v>0.26100000000000001</c:v>
                </c:pt>
                <c:pt idx="390">
                  <c:v>0.26500000000000001</c:v>
                </c:pt>
                <c:pt idx="391">
                  <c:v>0.26500000000000001</c:v>
                </c:pt>
                <c:pt idx="392">
                  <c:v>0.27900000000000003</c:v>
                </c:pt>
                <c:pt idx="393">
                  <c:v>0.26900000000000002</c:v>
                </c:pt>
                <c:pt idx="394">
                  <c:v>0.26</c:v>
                </c:pt>
                <c:pt idx="395">
                  <c:v>0.26800000000000002</c:v>
                </c:pt>
                <c:pt idx="396">
                  <c:v>0.27400000000000002</c:v>
                </c:pt>
                <c:pt idx="397">
                  <c:v>0.27100000000000002</c:v>
                </c:pt>
                <c:pt idx="398">
                  <c:v>0.27500000000000002</c:v>
                </c:pt>
                <c:pt idx="399">
                  <c:v>0.28000000000000003</c:v>
                </c:pt>
                <c:pt idx="400">
                  <c:v>0.28100000000000003</c:v>
                </c:pt>
                <c:pt idx="401">
                  <c:v>0.25700000000000001</c:v>
                </c:pt>
                <c:pt idx="402">
                  <c:v>0.25800000000000001</c:v>
                </c:pt>
                <c:pt idx="403">
                  <c:v>0.26</c:v>
                </c:pt>
                <c:pt idx="404">
                  <c:v>0.25900000000000001</c:v>
                </c:pt>
                <c:pt idx="405">
                  <c:v>0.26200000000000001</c:v>
                </c:pt>
                <c:pt idx="406">
                  <c:v>0.27</c:v>
                </c:pt>
                <c:pt idx="407">
                  <c:v>0.27400000000000002</c:v>
                </c:pt>
                <c:pt idx="408">
                  <c:v>0.26800000000000002</c:v>
                </c:pt>
                <c:pt idx="409">
                  <c:v>0.27</c:v>
                </c:pt>
                <c:pt idx="410">
                  <c:v>0.26900000000000002</c:v>
                </c:pt>
                <c:pt idx="411">
                  <c:v>0.27300000000000002</c:v>
                </c:pt>
                <c:pt idx="412">
                  <c:v>0.27300000000000002</c:v>
                </c:pt>
                <c:pt idx="413">
                  <c:v>0.26900000000000002</c:v>
                </c:pt>
                <c:pt idx="414">
                  <c:v>0.27</c:v>
                </c:pt>
                <c:pt idx="415">
                  <c:v>0.27200000000000002</c:v>
                </c:pt>
                <c:pt idx="416">
                  <c:v>0.26700000000000002</c:v>
                </c:pt>
                <c:pt idx="417">
                  <c:v>0.27</c:v>
                </c:pt>
                <c:pt idx="418">
                  <c:v>0.26700000000000002</c:v>
                </c:pt>
                <c:pt idx="419">
                  <c:v>0.27400000000000002</c:v>
                </c:pt>
                <c:pt idx="420">
                  <c:v>0.27700000000000002</c:v>
                </c:pt>
                <c:pt idx="421">
                  <c:v>0.27300000000000002</c:v>
                </c:pt>
                <c:pt idx="422">
                  <c:v>0.27200000000000002</c:v>
                </c:pt>
                <c:pt idx="423">
                  <c:v>0.26900000000000002</c:v>
                </c:pt>
                <c:pt idx="424">
                  <c:v>0.27200000000000002</c:v>
                </c:pt>
                <c:pt idx="425">
                  <c:v>0.27400000000000002</c:v>
                </c:pt>
                <c:pt idx="426">
                  <c:v>0.27500000000000002</c:v>
                </c:pt>
                <c:pt idx="427">
                  <c:v>0.25900000000000001</c:v>
                </c:pt>
                <c:pt idx="428">
                  <c:v>0.25600000000000001</c:v>
                </c:pt>
                <c:pt idx="429">
                  <c:v>0.254</c:v>
                </c:pt>
                <c:pt idx="430">
                  <c:v>0.24</c:v>
                </c:pt>
                <c:pt idx="431">
                  <c:v>0.22500000000000001</c:v>
                </c:pt>
                <c:pt idx="432">
                  <c:v>0.219</c:v>
                </c:pt>
                <c:pt idx="433">
                  <c:v>0.20899999999999999</c:v>
                </c:pt>
                <c:pt idx="434">
                  <c:v>0.21199999999999999</c:v>
                </c:pt>
                <c:pt idx="435">
                  <c:v>0.21299999999999999</c:v>
                </c:pt>
                <c:pt idx="436">
                  <c:v>0.21</c:v>
                </c:pt>
                <c:pt idx="437">
                  <c:v>0.16200000000000001</c:v>
                </c:pt>
                <c:pt idx="438">
                  <c:v>0.16500000000000001</c:v>
                </c:pt>
                <c:pt idx="439">
                  <c:v>0.16800000000000001</c:v>
                </c:pt>
                <c:pt idx="440">
                  <c:v>0.16500000000000001</c:v>
                </c:pt>
                <c:pt idx="441">
                  <c:v>0.17</c:v>
                </c:pt>
                <c:pt idx="442">
                  <c:v>0.17199999999999999</c:v>
                </c:pt>
                <c:pt idx="443">
                  <c:v>0.17599999999999999</c:v>
                </c:pt>
                <c:pt idx="444">
                  <c:v>0.17499999999999999</c:v>
                </c:pt>
                <c:pt idx="445">
                  <c:v>0.184</c:v>
                </c:pt>
                <c:pt idx="446">
                  <c:v>0.14599999999999999</c:v>
                </c:pt>
                <c:pt idx="447">
                  <c:v>0.155</c:v>
                </c:pt>
                <c:pt idx="448">
                  <c:v>0.155</c:v>
                </c:pt>
                <c:pt idx="449">
                  <c:v>0.15</c:v>
                </c:pt>
                <c:pt idx="450">
                  <c:v>0.14899999999999999</c:v>
                </c:pt>
                <c:pt idx="451">
                  <c:v>0.154</c:v>
                </c:pt>
                <c:pt idx="452">
                  <c:v>0.14000000000000001</c:v>
                </c:pt>
                <c:pt idx="453">
                  <c:v>0.14299999999999999</c:v>
                </c:pt>
                <c:pt idx="454">
                  <c:v>0.14599999999999999</c:v>
                </c:pt>
                <c:pt idx="455">
                  <c:v>0.129</c:v>
                </c:pt>
                <c:pt idx="456">
                  <c:v>0.125</c:v>
                </c:pt>
                <c:pt idx="457">
                  <c:v>0.124</c:v>
                </c:pt>
                <c:pt idx="458">
                  <c:v>0.128</c:v>
                </c:pt>
                <c:pt idx="459">
                  <c:v>0.112</c:v>
                </c:pt>
                <c:pt idx="460">
                  <c:v>0.114</c:v>
                </c:pt>
                <c:pt idx="461">
                  <c:v>0.109</c:v>
                </c:pt>
                <c:pt idx="462">
                  <c:v>0.111</c:v>
                </c:pt>
                <c:pt idx="463">
                  <c:v>0.109</c:v>
                </c:pt>
                <c:pt idx="464">
                  <c:v>0.113</c:v>
                </c:pt>
                <c:pt idx="465">
                  <c:v>9.2999999999999999E-2</c:v>
                </c:pt>
                <c:pt idx="466">
                  <c:v>0.108</c:v>
                </c:pt>
                <c:pt idx="467">
                  <c:v>9.7000000000000003E-2</c:v>
                </c:pt>
                <c:pt idx="468">
                  <c:v>9.6000000000000002E-2</c:v>
                </c:pt>
                <c:pt idx="469">
                  <c:v>9.4E-2</c:v>
                </c:pt>
                <c:pt idx="470">
                  <c:v>9.9000000000000005E-2</c:v>
                </c:pt>
                <c:pt idx="471">
                  <c:v>0.1</c:v>
                </c:pt>
                <c:pt idx="472">
                  <c:v>9.7000000000000003E-2</c:v>
                </c:pt>
                <c:pt idx="473">
                  <c:v>0.10199999999999999</c:v>
                </c:pt>
                <c:pt idx="474">
                  <c:v>9.9000000000000005E-2</c:v>
                </c:pt>
                <c:pt idx="475">
                  <c:v>9.7000000000000003E-2</c:v>
                </c:pt>
                <c:pt idx="476">
                  <c:v>9.5000000000000001E-2</c:v>
                </c:pt>
                <c:pt idx="477">
                  <c:v>9.5000000000000001E-2</c:v>
                </c:pt>
                <c:pt idx="478">
                  <c:v>9.7000000000000003E-2</c:v>
                </c:pt>
                <c:pt idx="479">
                  <c:v>9.1999999999999998E-2</c:v>
                </c:pt>
                <c:pt idx="480">
                  <c:v>9.2999999999999999E-2</c:v>
                </c:pt>
                <c:pt idx="481">
                  <c:v>9.2999999999999999E-2</c:v>
                </c:pt>
                <c:pt idx="482">
                  <c:v>8.8999999999999996E-2</c:v>
                </c:pt>
                <c:pt idx="483">
                  <c:v>8.7999999999999995E-2</c:v>
                </c:pt>
                <c:pt idx="484">
                  <c:v>8.8999999999999996E-2</c:v>
                </c:pt>
                <c:pt idx="485">
                  <c:v>9.4E-2</c:v>
                </c:pt>
                <c:pt idx="486">
                  <c:v>9.8000000000000004E-2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9.9000000000000005E-2</c:v>
                </c:pt>
                <c:pt idx="491">
                  <c:v>9.7000000000000003E-2</c:v>
                </c:pt>
                <c:pt idx="492">
                  <c:v>8.6999999999999994E-2</c:v>
                </c:pt>
                <c:pt idx="493">
                  <c:v>0.09</c:v>
                </c:pt>
                <c:pt idx="494">
                  <c:v>9.1999999999999998E-2</c:v>
                </c:pt>
                <c:pt idx="495">
                  <c:v>9.1999999999999998E-2</c:v>
                </c:pt>
                <c:pt idx="496">
                  <c:v>9.9000000000000005E-2</c:v>
                </c:pt>
                <c:pt idx="497">
                  <c:v>0.10299999999999999</c:v>
                </c:pt>
                <c:pt idx="498">
                  <c:v>0.104</c:v>
                </c:pt>
                <c:pt idx="499">
                  <c:v>0.09</c:v>
                </c:pt>
                <c:pt idx="500">
                  <c:v>8.6999999999999994E-2</c:v>
                </c:pt>
                <c:pt idx="501">
                  <c:v>8.5999999999999993E-2</c:v>
                </c:pt>
                <c:pt idx="502">
                  <c:v>8.1000000000000003E-2</c:v>
                </c:pt>
                <c:pt idx="503">
                  <c:v>0.08</c:v>
                </c:pt>
                <c:pt idx="504">
                  <c:v>7.6999999999999999E-2</c:v>
                </c:pt>
                <c:pt idx="505">
                  <c:v>7.3999999999999996E-2</c:v>
                </c:pt>
                <c:pt idx="506">
                  <c:v>7.5999999999999998E-2</c:v>
                </c:pt>
                <c:pt idx="507">
                  <c:v>7.4999999999999997E-2</c:v>
                </c:pt>
                <c:pt idx="508">
                  <c:v>7.5999999999999998E-2</c:v>
                </c:pt>
                <c:pt idx="509">
                  <c:v>7.6999999999999999E-2</c:v>
                </c:pt>
                <c:pt idx="510">
                  <c:v>7.6999999999999999E-2</c:v>
                </c:pt>
                <c:pt idx="511">
                  <c:v>7.5999999999999998E-2</c:v>
                </c:pt>
                <c:pt idx="512">
                  <c:v>7.9000000000000001E-2</c:v>
                </c:pt>
                <c:pt idx="513">
                  <c:v>8.2000000000000003E-2</c:v>
                </c:pt>
                <c:pt idx="514">
                  <c:v>7.8E-2</c:v>
                </c:pt>
                <c:pt idx="515">
                  <c:v>7.8E-2</c:v>
                </c:pt>
                <c:pt idx="516">
                  <c:v>7.9000000000000001E-2</c:v>
                </c:pt>
                <c:pt idx="517">
                  <c:v>7.9000000000000001E-2</c:v>
                </c:pt>
                <c:pt idx="518">
                  <c:v>7.9000000000000001E-2</c:v>
                </c:pt>
                <c:pt idx="519">
                  <c:v>7.8E-2</c:v>
                </c:pt>
                <c:pt idx="520">
                  <c:v>8.3000000000000004E-2</c:v>
                </c:pt>
                <c:pt idx="521">
                  <c:v>7.9000000000000001E-2</c:v>
                </c:pt>
                <c:pt idx="522">
                  <c:v>8.4000000000000005E-2</c:v>
                </c:pt>
                <c:pt idx="523">
                  <c:v>8.3000000000000004E-2</c:v>
                </c:pt>
                <c:pt idx="524">
                  <c:v>8.5000000000000006E-2</c:v>
                </c:pt>
                <c:pt idx="525">
                  <c:v>8.7999999999999995E-2</c:v>
                </c:pt>
                <c:pt idx="526">
                  <c:v>9.1999999999999998E-2</c:v>
                </c:pt>
                <c:pt idx="527">
                  <c:v>9.2999999999999999E-2</c:v>
                </c:pt>
                <c:pt idx="528">
                  <c:v>9.7000000000000003E-2</c:v>
                </c:pt>
                <c:pt idx="529">
                  <c:v>9.1999999999999998E-2</c:v>
                </c:pt>
                <c:pt idx="530">
                  <c:v>0.09</c:v>
                </c:pt>
                <c:pt idx="531">
                  <c:v>8.7999999999999995E-2</c:v>
                </c:pt>
                <c:pt idx="532">
                  <c:v>8.7999999999999995E-2</c:v>
                </c:pt>
                <c:pt idx="533">
                  <c:v>8.6999999999999994E-2</c:v>
                </c:pt>
                <c:pt idx="534">
                  <c:v>8.7999999999999995E-2</c:v>
                </c:pt>
                <c:pt idx="535">
                  <c:v>0.09</c:v>
                </c:pt>
                <c:pt idx="536">
                  <c:v>9.2999999999999999E-2</c:v>
                </c:pt>
                <c:pt idx="537">
                  <c:v>0.1</c:v>
                </c:pt>
                <c:pt idx="538">
                  <c:v>0.104</c:v>
                </c:pt>
                <c:pt idx="539">
                  <c:v>0.111</c:v>
                </c:pt>
                <c:pt idx="540">
                  <c:v>0.11899999999999999</c:v>
                </c:pt>
                <c:pt idx="541">
                  <c:v>0.11600000000000001</c:v>
                </c:pt>
                <c:pt idx="542">
                  <c:v>0.115</c:v>
                </c:pt>
                <c:pt idx="543">
                  <c:v>0.112</c:v>
                </c:pt>
                <c:pt idx="544">
                  <c:v>0.108</c:v>
                </c:pt>
                <c:pt idx="545">
                  <c:v>0.113</c:v>
                </c:pt>
                <c:pt idx="546">
                  <c:v>0.106</c:v>
                </c:pt>
                <c:pt idx="547">
                  <c:v>0.106</c:v>
                </c:pt>
                <c:pt idx="548">
                  <c:v>0.11600000000000001</c:v>
                </c:pt>
                <c:pt idx="549">
                  <c:v>0.12</c:v>
                </c:pt>
                <c:pt idx="550">
                  <c:v>0.122</c:v>
                </c:pt>
                <c:pt idx="551">
                  <c:v>0.104</c:v>
                </c:pt>
                <c:pt idx="552">
                  <c:v>9.7000000000000003E-2</c:v>
                </c:pt>
                <c:pt idx="553">
                  <c:v>8.8999999999999996E-2</c:v>
                </c:pt>
                <c:pt idx="554">
                  <c:v>0.1</c:v>
                </c:pt>
                <c:pt idx="555">
                  <c:v>8.4000000000000005E-2</c:v>
                </c:pt>
                <c:pt idx="556">
                  <c:v>8.3000000000000004E-2</c:v>
                </c:pt>
                <c:pt idx="557">
                  <c:v>0.08</c:v>
                </c:pt>
                <c:pt idx="558">
                  <c:v>8.5999999999999993E-2</c:v>
                </c:pt>
                <c:pt idx="559">
                  <c:v>8.5999999999999993E-2</c:v>
                </c:pt>
                <c:pt idx="560">
                  <c:v>8.4000000000000005E-2</c:v>
                </c:pt>
                <c:pt idx="561">
                  <c:v>7.9000000000000001E-2</c:v>
                </c:pt>
                <c:pt idx="562">
                  <c:v>7.8E-2</c:v>
                </c:pt>
                <c:pt idx="563">
                  <c:v>7.3999999999999996E-2</c:v>
                </c:pt>
                <c:pt idx="564">
                  <c:v>7.1999999999999995E-2</c:v>
                </c:pt>
                <c:pt idx="565">
                  <c:v>7.0999999999999994E-2</c:v>
                </c:pt>
                <c:pt idx="566">
                  <c:v>7.2999999999999995E-2</c:v>
                </c:pt>
                <c:pt idx="567">
                  <c:v>7.3999999999999996E-2</c:v>
                </c:pt>
                <c:pt idx="568">
                  <c:v>7.5999999999999998E-2</c:v>
                </c:pt>
                <c:pt idx="569">
                  <c:v>7.4999999999999997E-2</c:v>
                </c:pt>
                <c:pt idx="570">
                  <c:v>7.4999999999999997E-2</c:v>
                </c:pt>
                <c:pt idx="571">
                  <c:v>7.4999999999999997E-2</c:v>
                </c:pt>
                <c:pt idx="572">
                  <c:v>7.3999999999999996E-2</c:v>
                </c:pt>
                <c:pt idx="573">
                  <c:v>7.4999999999999997E-2</c:v>
                </c:pt>
                <c:pt idx="574">
                  <c:v>7.3999999999999996E-2</c:v>
                </c:pt>
                <c:pt idx="575">
                  <c:v>7.3999999999999996E-2</c:v>
                </c:pt>
                <c:pt idx="576">
                  <c:v>7.4999999999999997E-2</c:v>
                </c:pt>
                <c:pt idx="577">
                  <c:v>7.3999999999999996E-2</c:v>
                </c:pt>
                <c:pt idx="578">
                  <c:v>7.3999999999999996E-2</c:v>
                </c:pt>
                <c:pt idx="579">
                  <c:v>7.3999999999999996E-2</c:v>
                </c:pt>
                <c:pt idx="580">
                  <c:v>7.1999999999999995E-2</c:v>
                </c:pt>
                <c:pt idx="581">
                  <c:v>7.1999999999999995E-2</c:v>
                </c:pt>
                <c:pt idx="582">
                  <c:v>7.0999999999999994E-2</c:v>
                </c:pt>
                <c:pt idx="583">
                  <c:v>7.1999999999999995E-2</c:v>
                </c:pt>
                <c:pt idx="584">
                  <c:v>7.3999999999999996E-2</c:v>
                </c:pt>
                <c:pt idx="585">
                  <c:v>7.3999999999999996E-2</c:v>
                </c:pt>
                <c:pt idx="586">
                  <c:v>7.3999999999999996E-2</c:v>
                </c:pt>
                <c:pt idx="587">
                  <c:v>7.6999999999999999E-2</c:v>
                </c:pt>
                <c:pt idx="588">
                  <c:v>7.9000000000000001E-2</c:v>
                </c:pt>
                <c:pt idx="589">
                  <c:v>8.3000000000000004E-2</c:v>
                </c:pt>
                <c:pt idx="590">
                  <c:v>8.5000000000000006E-2</c:v>
                </c:pt>
                <c:pt idx="591">
                  <c:v>8.7999999999999995E-2</c:v>
                </c:pt>
                <c:pt idx="592">
                  <c:v>8.2000000000000003E-2</c:v>
                </c:pt>
                <c:pt idx="593">
                  <c:v>7.9000000000000001E-2</c:v>
                </c:pt>
                <c:pt idx="594">
                  <c:v>7.3999999999999996E-2</c:v>
                </c:pt>
                <c:pt idx="595">
                  <c:v>7.8E-2</c:v>
                </c:pt>
                <c:pt idx="596">
                  <c:v>7.6999999999999999E-2</c:v>
                </c:pt>
                <c:pt idx="597">
                  <c:v>7.6999999999999999E-2</c:v>
                </c:pt>
                <c:pt idx="598">
                  <c:v>7.6999999999999999E-2</c:v>
                </c:pt>
                <c:pt idx="599">
                  <c:v>7.3999999999999996E-2</c:v>
                </c:pt>
                <c:pt idx="600">
                  <c:v>7.0999999999999994E-2</c:v>
                </c:pt>
                <c:pt idx="601">
                  <c:v>6.9000000000000006E-2</c:v>
                </c:pt>
                <c:pt idx="602">
                  <c:v>7.0000000000000007E-2</c:v>
                </c:pt>
                <c:pt idx="603">
                  <c:v>6.9000000000000006E-2</c:v>
                </c:pt>
                <c:pt idx="604">
                  <c:v>6.6000000000000003E-2</c:v>
                </c:pt>
                <c:pt idx="605">
                  <c:v>6.0999999999999999E-2</c:v>
                </c:pt>
                <c:pt idx="606">
                  <c:v>5.7000000000000002E-2</c:v>
                </c:pt>
                <c:pt idx="607">
                  <c:v>5.8999999999999997E-2</c:v>
                </c:pt>
                <c:pt idx="608">
                  <c:v>5.5E-2</c:v>
                </c:pt>
                <c:pt idx="609">
                  <c:v>4.5999999999999999E-2</c:v>
                </c:pt>
                <c:pt idx="610">
                  <c:v>4.5999999999999999E-2</c:v>
                </c:pt>
                <c:pt idx="611">
                  <c:v>3.9E-2</c:v>
                </c:pt>
                <c:pt idx="612">
                  <c:v>4.2999999999999997E-2</c:v>
                </c:pt>
                <c:pt idx="613">
                  <c:v>4.3999999999999997E-2</c:v>
                </c:pt>
                <c:pt idx="614">
                  <c:v>4.7E-2</c:v>
                </c:pt>
                <c:pt idx="615">
                  <c:v>3.4000000000000002E-2</c:v>
                </c:pt>
                <c:pt idx="616">
                  <c:v>1.2E-2</c:v>
                </c:pt>
                <c:pt idx="617">
                  <c:v>-1E-3</c:v>
                </c:pt>
                <c:pt idx="618">
                  <c:v>4.0000000000000001E-3</c:v>
                </c:pt>
                <c:pt idx="619">
                  <c:v>5.0000000000000001E-3</c:v>
                </c:pt>
                <c:pt idx="620">
                  <c:v>1.7999999999999999E-2</c:v>
                </c:pt>
                <c:pt idx="621">
                  <c:v>6.6000000000000003E-2</c:v>
                </c:pt>
                <c:pt idx="622">
                  <c:v>8.4000000000000005E-2</c:v>
                </c:pt>
                <c:pt idx="623">
                  <c:v>7.3999999999999996E-2</c:v>
                </c:pt>
                <c:pt idx="624">
                  <c:v>7.5999999999999998E-2</c:v>
                </c:pt>
                <c:pt idx="625">
                  <c:v>7.0000000000000007E-2</c:v>
                </c:pt>
                <c:pt idx="626">
                  <c:v>7.1999999999999995E-2</c:v>
                </c:pt>
                <c:pt idx="627">
                  <c:v>7.0000000000000007E-2</c:v>
                </c:pt>
                <c:pt idx="628">
                  <c:v>6.8000000000000005E-2</c:v>
                </c:pt>
                <c:pt idx="629">
                  <c:v>6.5000000000000002E-2</c:v>
                </c:pt>
                <c:pt idx="630">
                  <c:v>5.8000000000000003E-2</c:v>
                </c:pt>
                <c:pt idx="631">
                  <c:v>5.7000000000000002E-2</c:v>
                </c:pt>
                <c:pt idx="632">
                  <c:v>5.8000000000000003E-2</c:v>
                </c:pt>
                <c:pt idx="633">
                  <c:v>6.7000000000000004E-2</c:v>
                </c:pt>
                <c:pt idx="634">
                  <c:v>6.6000000000000003E-2</c:v>
                </c:pt>
                <c:pt idx="635">
                  <c:v>6.4000000000000001E-2</c:v>
                </c:pt>
                <c:pt idx="636">
                  <c:v>6.2E-2</c:v>
                </c:pt>
                <c:pt idx="637">
                  <c:v>5.6000000000000001E-2</c:v>
                </c:pt>
                <c:pt idx="638">
                  <c:v>5.8000000000000003E-2</c:v>
                </c:pt>
                <c:pt idx="639">
                  <c:v>4.7E-2</c:v>
                </c:pt>
                <c:pt idx="640">
                  <c:v>4.7E-2</c:v>
                </c:pt>
                <c:pt idx="641">
                  <c:v>4.4999999999999998E-2</c:v>
                </c:pt>
                <c:pt idx="642">
                  <c:v>3.9E-2</c:v>
                </c:pt>
                <c:pt idx="643">
                  <c:v>2.9000000000000001E-2</c:v>
                </c:pt>
                <c:pt idx="644">
                  <c:v>0.03</c:v>
                </c:pt>
                <c:pt idx="645">
                  <c:v>2.8000000000000001E-2</c:v>
                </c:pt>
                <c:pt idx="646">
                  <c:v>2.8000000000000001E-2</c:v>
                </c:pt>
                <c:pt idx="647">
                  <c:v>3.1E-2</c:v>
                </c:pt>
                <c:pt idx="648">
                  <c:v>2.9000000000000001E-2</c:v>
                </c:pt>
                <c:pt idx="649">
                  <c:v>2.5000000000000001E-2</c:v>
                </c:pt>
                <c:pt idx="650">
                  <c:v>2.1000000000000001E-2</c:v>
                </c:pt>
                <c:pt idx="651">
                  <c:v>2.1999999999999999E-2</c:v>
                </c:pt>
                <c:pt idx="652">
                  <c:v>2.4E-2</c:v>
                </c:pt>
                <c:pt idx="653">
                  <c:v>2.4E-2</c:v>
                </c:pt>
                <c:pt idx="654">
                  <c:v>2.9000000000000001E-2</c:v>
                </c:pt>
                <c:pt idx="655">
                  <c:v>0.04</c:v>
                </c:pt>
                <c:pt idx="656">
                  <c:v>3.9E-2</c:v>
                </c:pt>
                <c:pt idx="657">
                  <c:v>0.04</c:v>
                </c:pt>
                <c:pt idx="658">
                  <c:v>4.1000000000000002E-2</c:v>
                </c:pt>
                <c:pt idx="659">
                  <c:v>0.04</c:v>
                </c:pt>
                <c:pt idx="660">
                  <c:v>3.9E-2</c:v>
                </c:pt>
                <c:pt idx="661">
                  <c:v>3.3000000000000002E-2</c:v>
                </c:pt>
                <c:pt idx="662">
                  <c:v>2.9000000000000001E-2</c:v>
                </c:pt>
                <c:pt idx="663">
                  <c:v>2.7E-2</c:v>
                </c:pt>
                <c:pt idx="664">
                  <c:v>2.5000000000000001E-2</c:v>
                </c:pt>
                <c:pt idx="665">
                  <c:v>1.0999999999999999E-2</c:v>
                </c:pt>
                <c:pt idx="666">
                  <c:v>1.0999999999999999E-2</c:v>
                </c:pt>
                <c:pt idx="667">
                  <c:v>1.2999999999999999E-2</c:v>
                </c:pt>
                <c:pt idx="668">
                  <c:v>1.7000000000000001E-2</c:v>
                </c:pt>
                <c:pt idx="669">
                  <c:v>1.7000000000000001E-2</c:v>
                </c:pt>
                <c:pt idx="670">
                  <c:v>1.7999999999999999E-2</c:v>
                </c:pt>
                <c:pt idx="671">
                  <c:v>1.6E-2</c:v>
                </c:pt>
                <c:pt idx="672">
                  <c:v>8.9999999999999993E-3</c:v>
                </c:pt>
                <c:pt idx="673">
                  <c:v>8.9999999999999993E-3</c:v>
                </c:pt>
                <c:pt idx="674">
                  <c:v>8.0000000000000002E-3</c:v>
                </c:pt>
                <c:pt idx="675">
                  <c:v>8.0000000000000002E-3</c:v>
                </c:pt>
                <c:pt idx="676">
                  <c:v>8.0000000000000002E-3</c:v>
                </c:pt>
                <c:pt idx="677">
                  <c:v>8.9999999999999993E-3</c:v>
                </c:pt>
                <c:pt idx="678">
                  <c:v>0.01</c:v>
                </c:pt>
                <c:pt idx="679">
                  <c:v>0.01</c:v>
                </c:pt>
                <c:pt idx="680">
                  <c:v>8.0000000000000002E-3</c:v>
                </c:pt>
                <c:pt idx="681">
                  <c:v>6.0000000000000001E-3</c:v>
                </c:pt>
                <c:pt idx="682">
                  <c:v>2E-3</c:v>
                </c:pt>
                <c:pt idx="683">
                  <c:v>7.0000000000000001E-3</c:v>
                </c:pt>
                <c:pt idx="684">
                  <c:v>8.0000000000000002E-3</c:v>
                </c:pt>
                <c:pt idx="685">
                  <c:v>8.0000000000000002E-3</c:v>
                </c:pt>
                <c:pt idx="686">
                  <c:v>8.0000000000000002E-3</c:v>
                </c:pt>
                <c:pt idx="687">
                  <c:v>8.0000000000000002E-3</c:v>
                </c:pt>
                <c:pt idx="688">
                  <c:v>8.9999999999999993E-3</c:v>
                </c:pt>
                <c:pt idx="689">
                  <c:v>8.9999999999999993E-3</c:v>
                </c:pt>
                <c:pt idx="690">
                  <c:v>1.2999999999999999E-2</c:v>
                </c:pt>
                <c:pt idx="691">
                  <c:v>1.6E-2</c:v>
                </c:pt>
                <c:pt idx="692">
                  <c:v>2.4E-2</c:v>
                </c:pt>
                <c:pt idx="693">
                  <c:v>2.5999999999999999E-2</c:v>
                </c:pt>
                <c:pt idx="694">
                  <c:v>3.5000000000000003E-2</c:v>
                </c:pt>
                <c:pt idx="695">
                  <c:v>3.9E-2</c:v>
                </c:pt>
                <c:pt idx="696">
                  <c:v>6.8000000000000005E-2</c:v>
                </c:pt>
                <c:pt idx="697">
                  <c:v>8.4000000000000005E-2</c:v>
                </c:pt>
                <c:pt idx="698">
                  <c:v>8.5999999999999993E-2</c:v>
                </c:pt>
                <c:pt idx="699">
                  <c:v>8.5999999999999993E-2</c:v>
                </c:pt>
                <c:pt idx="700">
                  <c:v>0.20300000000000001</c:v>
                </c:pt>
                <c:pt idx="701">
                  <c:v>9.6000000000000002E-2</c:v>
                </c:pt>
                <c:pt idx="702">
                  <c:v>9.7000000000000003E-2</c:v>
                </c:pt>
                <c:pt idx="703">
                  <c:v>9.8000000000000004E-2</c:v>
                </c:pt>
                <c:pt idx="704">
                  <c:v>0.10199999999999999</c:v>
                </c:pt>
                <c:pt idx="705">
                  <c:v>0.13</c:v>
                </c:pt>
                <c:pt idx="706">
                  <c:v>0.13700000000000001</c:v>
                </c:pt>
                <c:pt idx="707">
                  <c:v>0.14399999999999999</c:v>
                </c:pt>
                <c:pt idx="708">
                  <c:v>0.155</c:v>
                </c:pt>
                <c:pt idx="709">
                  <c:v>0.121</c:v>
                </c:pt>
                <c:pt idx="710">
                  <c:v>0.126</c:v>
                </c:pt>
                <c:pt idx="711">
                  <c:v>0.14399999999999999</c:v>
                </c:pt>
                <c:pt idx="712">
                  <c:v>0.2</c:v>
                </c:pt>
                <c:pt idx="713">
                  <c:v>0.496</c:v>
                </c:pt>
                <c:pt idx="714">
                  <c:v>0.68</c:v>
                </c:pt>
                <c:pt idx="715">
                  <c:v>0.64</c:v>
                </c:pt>
                <c:pt idx="716">
                  <c:v>0.61899999999999999</c:v>
                </c:pt>
                <c:pt idx="717">
                  <c:v>0.56999999999999995</c:v>
                </c:pt>
                <c:pt idx="718">
                  <c:v>0.58499999999999996</c:v>
                </c:pt>
                <c:pt idx="719">
                  <c:v>0.54500000000000004</c:v>
                </c:pt>
                <c:pt idx="720">
                  <c:v>0.51</c:v>
                </c:pt>
                <c:pt idx="721">
                  <c:v>0.50600000000000001</c:v>
                </c:pt>
                <c:pt idx="722">
                  <c:v>0.51400000000000001</c:v>
                </c:pt>
                <c:pt idx="723">
                  <c:v>0.6</c:v>
                </c:pt>
                <c:pt idx="724">
                  <c:v>0.60599999999999998</c:v>
                </c:pt>
                <c:pt idx="725">
                  <c:v>0.57699999999999996</c:v>
                </c:pt>
                <c:pt idx="726">
                  <c:v>0.60799999999999998</c:v>
                </c:pt>
                <c:pt idx="727">
                  <c:v>0.57999999999999996</c:v>
                </c:pt>
                <c:pt idx="728">
                  <c:v>0.56100000000000005</c:v>
                </c:pt>
                <c:pt idx="729">
                  <c:v>0.56699999999999995</c:v>
                </c:pt>
                <c:pt idx="730">
                  <c:v>0.56799999999999995</c:v>
                </c:pt>
                <c:pt idx="731">
                  <c:v>0.60699999999999998</c:v>
                </c:pt>
                <c:pt idx="732">
                  <c:v>0.55700000000000005</c:v>
                </c:pt>
                <c:pt idx="733">
                  <c:v>0.56699999999999995</c:v>
                </c:pt>
                <c:pt idx="734">
                  <c:v>0.54100000000000004</c:v>
                </c:pt>
                <c:pt idx="735">
                  <c:v>0.52600000000000002</c:v>
                </c:pt>
                <c:pt idx="736">
                  <c:v>0.51100000000000001</c:v>
                </c:pt>
                <c:pt idx="737">
                  <c:v>0.54500000000000004</c:v>
                </c:pt>
                <c:pt idx="738">
                  <c:v>0.55500000000000005</c:v>
                </c:pt>
                <c:pt idx="739">
                  <c:v>0.54300000000000004</c:v>
                </c:pt>
                <c:pt idx="740">
                  <c:v>0.52700000000000002</c:v>
                </c:pt>
                <c:pt idx="741">
                  <c:v>0.55200000000000005</c:v>
                </c:pt>
                <c:pt idx="742">
                  <c:v>0.56200000000000006</c:v>
                </c:pt>
                <c:pt idx="743">
                  <c:v>0.54600000000000004</c:v>
                </c:pt>
                <c:pt idx="744">
                  <c:v>0.53100000000000003</c:v>
                </c:pt>
                <c:pt idx="745">
                  <c:v>0.52100000000000002</c:v>
                </c:pt>
                <c:pt idx="746">
                  <c:v>0.50800000000000001</c:v>
                </c:pt>
                <c:pt idx="747">
                  <c:v>0.52800000000000002</c:v>
                </c:pt>
                <c:pt idx="748">
                  <c:v>0.57699999999999996</c:v>
                </c:pt>
                <c:pt idx="749">
                  <c:v>0.57699999999999996</c:v>
                </c:pt>
                <c:pt idx="750">
                  <c:v>0.53400000000000003</c:v>
                </c:pt>
                <c:pt idx="751">
                  <c:v>0.53</c:v>
                </c:pt>
                <c:pt idx="752">
                  <c:v>0.47499999999999998</c:v>
                </c:pt>
                <c:pt idx="753">
                  <c:v>0.48299999999999998</c:v>
                </c:pt>
                <c:pt idx="754">
                  <c:v>0.48699999999999999</c:v>
                </c:pt>
                <c:pt idx="755">
                  <c:v>0.47699999999999998</c:v>
                </c:pt>
                <c:pt idx="756">
                  <c:v>0.501</c:v>
                </c:pt>
                <c:pt idx="757">
                  <c:v>0.50900000000000001</c:v>
                </c:pt>
                <c:pt idx="758">
                  <c:v>0.56100000000000005</c:v>
                </c:pt>
                <c:pt idx="759">
                  <c:v>0.57499999999999996</c:v>
                </c:pt>
                <c:pt idx="760">
                  <c:v>0.625</c:v>
                </c:pt>
                <c:pt idx="761">
                  <c:v>0.61499999999999999</c:v>
                </c:pt>
                <c:pt idx="762">
                  <c:v>0.622</c:v>
                </c:pt>
                <c:pt idx="763">
                  <c:v>0.62</c:v>
                </c:pt>
                <c:pt idx="764">
                  <c:v>0.60699999999999998</c:v>
                </c:pt>
                <c:pt idx="765">
                  <c:v>0.63600000000000001</c:v>
                </c:pt>
                <c:pt idx="766">
                  <c:v>0.66400000000000003</c:v>
                </c:pt>
                <c:pt idx="767">
                  <c:v>0.71499999999999997</c:v>
                </c:pt>
                <c:pt idx="768">
                  <c:v>0.76600000000000001</c:v>
                </c:pt>
                <c:pt idx="769">
                  <c:v>0.79700000000000004</c:v>
                </c:pt>
                <c:pt idx="770">
                  <c:v>0.82099999999999995</c:v>
                </c:pt>
                <c:pt idx="771">
                  <c:v>0.77300000000000002</c:v>
                </c:pt>
                <c:pt idx="772">
                  <c:v>0.79900000000000004</c:v>
                </c:pt>
                <c:pt idx="773">
                  <c:v>0.84799999999999998</c:v>
                </c:pt>
                <c:pt idx="774">
                  <c:v>0.91600000000000004</c:v>
                </c:pt>
                <c:pt idx="775">
                  <c:v>0.876</c:v>
                </c:pt>
                <c:pt idx="776">
                  <c:v>0.81200000000000006</c:v>
                </c:pt>
                <c:pt idx="777">
                  <c:v>0.79700000000000004</c:v>
                </c:pt>
                <c:pt idx="778">
                  <c:v>0.80400000000000005</c:v>
                </c:pt>
                <c:pt idx="779">
                  <c:v>0.79100000000000004</c:v>
                </c:pt>
                <c:pt idx="780">
                  <c:v>0.86399999999999999</c:v>
                </c:pt>
                <c:pt idx="781">
                  <c:v>0.93</c:v>
                </c:pt>
                <c:pt idx="782">
                  <c:v>0.99299999999999999</c:v>
                </c:pt>
                <c:pt idx="783">
                  <c:v>0.98499999999999999</c:v>
                </c:pt>
                <c:pt idx="784">
                  <c:v>0.97799999999999998</c:v>
                </c:pt>
                <c:pt idx="785">
                  <c:v>1.0840000000000001</c:v>
                </c:pt>
                <c:pt idx="786">
                  <c:v>1.0489999999999999</c:v>
                </c:pt>
                <c:pt idx="787">
                  <c:v>1.1160000000000001</c:v>
                </c:pt>
                <c:pt idx="788">
                  <c:v>1.1359999999999999</c:v>
                </c:pt>
                <c:pt idx="789">
                  <c:v>1.0900000000000001</c:v>
                </c:pt>
                <c:pt idx="790">
                  <c:v>1.105</c:v>
                </c:pt>
                <c:pt idx="791">
                  <c:v>1.0940000000000001</c:v>
                </c:pt>
                <c:pt idx="792">
                  <c:v>1.107</c:v>
                </c:pt>
                <c:pt idx="793">
                  <c:v>1.161</c:v>
                </c:pt>
                <c:pt idx="794">
                  <c:v>1.0880000000000001</c:v>
                </c:pt>
                <c:pt idx="795">
                  <c:v>1.127</c:v>
                </c:pt>
                <c:pt idx="796">
                  <c:v>1.022</c:v>
                </c:pt>
                <c:pt idx="797">
                  <c:v>1.0209999999999999</c:v>
                </c:pt>
                <c:pt idx="798">
                  <c:v>0.93899999999999995</c:v>
                </c:pt>
                <c:pt idx="799">
                  <c:v>1.016</c:v>
                </c:pt>
                <c:pt idx="800">
                  <c:v>1.0489999999999999</c:v>
                </c:pt>
                <c:pt idx="801">
                  <c:v>1.0609999999999999</c:v>
                </c:pt>
                <c:pt idx="802">
                  <c:v>1.1419999999999999</c:v>
                </c:pt>
                <c:pt idx="803">
                  <c:v>1.1930000000000001</c:v>
                </c:pt>
                <c:pt idx="804">
                  <c:v>1.2150000000000001</c:v>
                </c:pt>
                <c:pt idx="805">
                  <c:v>1.244</c:v>
                </c:pt>
                <c:pt idx="806">
                  <c:v>1.278</c:v>
                </c:pt>
                <c:pt idx="807">
                  <c:v>1.28</c:v>
                </c:pt>
                <c:pt idx="808">
                  <c:v>1.2330000000000001</c:v>
                </c:pt>
                <c:pt idx="809">
                  <c:v>1.288</c:v>
                </c:pt>
                <c:pt idx="810">
                  <c:v>1.3380000000000001</c:v>
                </c:pt>
                <c:pt idx="811">
                  <c:v>1.349</c:v>
                </c:pt>
                <c:pt idx="812">
                  <c:v>1.506</c:v>
                </c:pt>
                <c:pt idx="813">
                  <c:v>1.5209999999999999</c:v>
                </c:pt>
                <c:pt idx="814">
                  <c:v>1.4510000000000001</c:v>
                </c:pt>
                <c:pt idx="815">
                  <c:v>1.5329999999999999</c:v>
                </c:pt>
                <c:pt idx="816">
                  <c:v>1.7470000000000001</c:v>
                </c:pt>
                <c:pt idx="817">
                  <c:v>1.8640000000000001</c:v>
                </c:pt>
                <c:pt idx="818">
                  <c:v>1.7769999999999999</c:v>
                </c:pt>
                <c:pt idx="819">
                  <c:v>1.7609999999999999</c:v>
                </c:pt>
                <c:pt idx="820">
                  <c:v>1.7909999999999999</c:v>
                </c:pt>
                <c:pt idx="821">
                  <c:v>1.8089999999999999</c:v>
                </c:pt>
                <c:pt idx="822">
                  <c:v>1.93</c:v>
                </c:pt>
                <c:pt idx="823">
                  <c:v>2.073</c:v>
                </c:pt>
                <c:pt idx="824">
                  <c:v>2.077</c:v>
                </c:pt>
                <c:pt idx="825">
                  <c:v>2.097</c:v>
                </c:pt>
                <c:pt idx="826">
                  <c:v>2.1070000000000002</c:v>
                </c:pt>
                <c:pt idx="827">
                  <c:v>2.1419999999999999</c:v>
                </c:pt>
                <c:pt idx="828">
                  <c:v>2.101</c:v>
                </c:pt>
                <c:pt idx="829">
                  <c:v>2.0049999999999999</c:v>
                </c:pt>
                <c:pt idx="830">
                  <c:v>2.1120000000000001</c:v>
                </c:pt>
                <c:pt idx="831">
                  <c:v>2.1880000000000002</c:v>
                </c:pt>
                <c:pt idx="832">
                  <c:v>2.2509999999999999</c:v>
                </c:pt>
                <c:pt idx="833">
                  <c:v>2.38</c:v>
                </c:pt>
                <c:pt idx="834">
                  <c:v>2.351</c:v>
                </c:pt>
                <c:pt idx="835">
                  <c:v>2.383</c:v>
                </c:pt>
                <c:pt idx="836">
                  <c:v>2.4079999999999999</c:v>
                </c:pt>
                <c:pt idx="837">
                  <c:v>2.4510000000000001</c:v>
                </c:pt>
                <c:pt idx="838">
                  <c:v>2.56</c:v>
                </c:pt>
                <c:pt idx="839">
                  <c:v>2.7639999999999998</c:v>
                </c:pt>
                <c:pt idx="840">
                  <c:v>2.8959999999999999</c:v>
                </c:pt>
                <c:pt idx="841">
                  <c:v>2.7250000000000001</c:v>
                </c:pt>
                <c:pt idx="842">
                  <c:v>2.7570000000000001</c:v>
                </c:pt>
                <c:pt idx="843">
                  <c:v>2.77</c:v>
                </c:pt>
                <c:pt idx="844">
                  <c:v>2.714</c:v>
                </c:pt>
                <c:pt idx="845">
                  <c:v>2.6789999999999998</c:v>
                </c:pt>
                <c:pt idx="846">
                  <c:v>2.6360000000000001</c:v>
                </c:pt>
                <c:pt idx="847">
                  <c:v>2.5640000000000001</c:v>
                </c:pt>
                <c:pt idx="848">
                  <c:v>2.58</c:v>
                </c:pt>
                <c:pt idx="849">
                  <c:v>2.6030000000000002</c:v>
                </c:pt>
                <c:pt idx="850">
                  <c:v>2.6240000000000001</c:v>
                </c:pt>
                <c:pt idx="851">
                  <c:v>2.5640000000000001</c:v>
                </c:pt>
                <c:pt idx="852">
                  <c:v>2.5139999999999998</c:v>
                </c:pt>
                <c:pt idx="853">
                  <c:v>2.5329999999999999</c:v>
                </c:pt>
                <c:pt idx="854">
                  <c:v>2.5310000000000001</c:v>
                </c:pt>
                <c:pt idx="855">
                  <c:v>2.423</c:v>
                </c:pt>
                <c:pt idx="856">
                  <c:v>2.4129999999999998</c:v>
                </c:pt>
                <c:pt idx="857">
                  <c:v>2.4449999999999998</c:v>
                </c:pt>
                <c:pt idx="858">
                  <c:v>2.4380000000000002</c:v>
                </c:pt>
                <c:pt idx="859">
                  <c:v>2.5190000000000001</c:v>
                </c:pt>
                <c:pt idx="860">
                  <c:v>2.5720000000000001</c:v>
                </c:pt>
                <c:pt idx="861">
                  <c:v>2.677</c:v>
                </c:pt>
                <c:pt idx="862">
                  <c:v>2.6520000000000001</c:v>
                </c:pt>
                <c:pt idx="863">
                  <c:v>2.669</c:v>
                </c:pt>
                <c:pt idx="864">
                  <c:v>2.8340000000000001</c:v>
                </c:pt>
                <c:pt idx="865">
                  <c:v>2.7810000000000001</c:v>
                </c:pt>
                <c:pt idx="866">
                  <c:v>2.7730000000000001</c:v>
                </c:pt>
                <c:pt idx="867">
                  <c:v>2.7909999999999999</c:v>
                </c:pt>
                <c:pt idx="868">
                  <c:v>3.1320000000000001</c:v>
                </c:pt>
                <c:pt idx="869">
                  <c:v>3.3650000000000002</c:v>
                </c:pt>
                <c:pt idx="870">
                  <c:v>3.234</c:v>
                </c:pt>
                <c:pt idx="871">
                  <c:v>3.3580000000000001</c:v>
                </c:pt>
                <c:pt idx="872">
                  <c:v>3.327</c:v>
                </c:pt>
                <c:pt idx="873">
                  <c:v>3.222</c:v>
                </c:pt>
                <c:pt idx="874">
                  <c:v>3.0859999999999999</c:v>
                </c:pt>
                <c:pt idx="875">
                  <c:v>2.9849999999999999</c:v>
                </c:pt>
                <c:pt idx="876">
                  <c:v>2.831</c:v>
                </c:pt>
                <c:pt idx="877">
                  <c:v>2.9020000000000001</c:v>
                </c:pt>
                <c:pt idx="878">
                  <c:v>2.8769999999999998</c:v>
                </c:pt>
                <c:pt idx="879">
                  <c:v>2.81</c:v>
                </c:pt>
                <c:pt idx="880">
                  <c:v>2.7290000000000001</c:v>
                </c:pt>
                <c:pt idx="881">
                  <c:v>2.5880000000000001</c:v>
                </c:pt>
                <c:pt idx="882">
                  <c:v>2.56</c:v>
                </c:pt>
                <c:pt idx="883">
                  <c:v>2.581</c:v>
                </c:pt>
                <c:pt idx="884">
                  <c:v>2.5339999999999998</c:v>
                </c:pt>
                <c:pt idx="885">
                  <c:v>2.589</c:v>
                </c:pt>
                <c:pt idx="886">
                  <c:v>2.6480000000000001</c:v>
                </c:pt>
                <c:pt idx="887">
                  <c:v>2.68</c:v>
                </c:pt>
                <c:pt idx="888">
                  <c:v>2.5870000000000002</c:v>
                </c:pt>
                <c:pt idx="889">
                  <c:v>2.57</c:v>
                </c:pt>
                <c:pt idx="890">
                  <c:v>2.6779999999999999</c:v>
                </c:pt>
                <c:pt idx="891">
                  <c:v>2.6709999999999998</c:v>
                </c:pt>
                <c:pt idx="892">
                  <c:v>2.754</c:v>
                </c:pt>
                <c:pt idx="893">
                  <c:v>2.8559999999999999</c:v>
                </c:pt>
                <c:pt idx="894">
                  <c:v>2.907</c:v>
                </c:pt>
                <c:pt idx="895">
                  <c:v>2.9169999999999998</c:v>
                </c:pt>
                <c:pt idx="896">
                  <c:v>2.831</c:v>
                </c:pt>
                <c:pt idx="897">
                  <c:v>2.7749999999999999</c:v>
                </c:pt>
                <c:pt idx="898">
                  <c:v>2.7989999999999999</c:v>
                </c:pt>
                <c:pt idx="899">
                  <c:v>2.6869999999999998</c:v>
                </c:pt>
                <c:pt idx="900">
                  <c:v>2.6429999999999998</c:v>
                </c:pt>
                <c:pt idx="901">
                  <c:v>2.4849999999999999</c:v>
                </c:pt>
                <c:pt idx="902">
                  <c:v>2.5139999999999998</c:v>
                </c:pt>
                <c:pt idx="903">
                  <c:v>2.512</c:v>
                </c:pt>
                <c:pt idx="904">
                  <c:v>2.6379999999999999</c:v>
                </c:pt>
                <c:pt idx="905">
                  <c:v>2.7120000000000002</c:v>
                </c:pt>
                <c:pt idx="906">
                  <c:v>2.677</c:v>
                </c:pt>
                <c:pt idx="907">
                  <c:v>2.7770000000000001</c:v>
                </c:pt>
                <c:pt idx="908">
                  <c:v>2.7919999999999998</c:v>
                </c:pt>
                <c:pt idx="909">
                  <c:v>2.8460000000000001</c:v>
                </c:pt>
                <c:pt idx="910">
                  <c:v>2.8650000000000002</c:v>
                </c:pt>
                <c:pt idx="911">
                  <c:v>2.948</c:v>
                </c:pt>
                <c:pt idx="912">
                  <c:v>2.9060000000000001</c:v>
                </c:pt>
                <c:pt idx="913">
                  <c:v>2.782</c:v>
                </c:pt>
                <c:pt idx="914">
                  <c:v>2.8359999999999999</c:v>
                </c:pt>
                <c:pt idx="915">
                  <c:v>2.883</c:v>
                </c:pt>
                <c:pt idx="916">
                  <c:v>2.9390000000000001</c:v>
                </c:pt>
                <c:pt idx="917">
                  <c:v>3.0409999999999999</c:v>
                </c:pt>
                <c:pt idx="918">
                  <c:v>3.1139999999999999</c:v>
                </c:pt>
                <c:pt idx="919">
                  <c:v>3.089</c:v>
                </c:pt>
                <c:pt idx="920">
                  <c:v>3.121</c:v>
                </c:pt>
                <c:pt idx="921">
                  <c:v>3.0409999999999999</c:v>
                </c:pt>
                <c:pt idx="922">
                  <c:v>3.18</c:v>
                </c:pt>
                <c:pt idx="923">
                  <c:v>3.0910000000000002</c:v>
                </c:pt>
                <c:pt idx="924">
                  <c:v>3.0619999999999998</c:v>
                </c:pt>
                <c:pt idx="925">
                  <c:v>3.1349999999999998</c:v>
                </c:pt>
                <c:pt idx="926">
                  <c:v>3.1080000000000001</c:v>
                </c:pt>
                <c:pt idx="927">
                  <c:v>3.1030000000000002</c:v>
                </c:pt>
                <c:pt idx="928">
                  <c:v>3.0960000000000001</c:v>
                </c:pt>
                <c:pt idx="929">
                  <c:v>3.1339999999999999</c:v>
                </c:pt>
                <c:pt idx="930">
                  <c:v>2.988</c:v>
                </c:pt>
                <c:pt idx="931">
                  <c:v>3.0129999999999999</c:v>
                </c:pt>
                <c:pt idx="932">
                  <c:v>3.0840000000000001</c:v>
                </c:pt>
                <c:pt idx="933">
                  <c:v>3.0350000000000001</c:v>
                </c:pt>
                <c:pt idx="934">
                  <c:v>3.1339999999999999</c:v>
                </c:pt>
                <c:pt idx="935">
                  <c:v>3.2149999999999999</c:v>
                </c:pt>
                <c:pt idx="936">
                  <c:v>3.2949999999999999</c:v>
                </c:pt>
                <c:pt idx="937">
                  <c:v>3.2570000000000001</c:v>
                </c:pt>
                <c:pt idx="938">
                  <c:v>3.218</c:v>
                </c:pt>
                <c:pt idx="939">
                  <c:v>3.218</c:v>
                </c:pt>
                <c:pt idx="940">
                  <c:v>3.4769999999999999</c:v>
                </c:pt>
                <c:pt idx="941">
                  <c:v>3.6139999999999999</c:v>
                </c:pt>
                <c:pt idx="942">
                  <c:v>3.5750000000000002</c:v>
                </c:pt>
                <c:pt idx="943">
                  <c:v>3.5720000000000001</c:v>
                </c:pt>
                <c:pt idx="944">
                  <c:v>3.484</c:v>
                </c:pt>
                <c:pt idx="945">
                  <c:v>3.4220000000000002</c:v>
                </c:pt>
                <c:pt idx="946">
                  <c:v>3.1139999999999999</c:v>
                </c:pt>
                <c:pt idx="947">
                  <c:v>3.0640000000000001</c:v>
                </c:pt>
                <c:pt idx="948">
                  <c:v>3.18</c:v>
                </c:pt>
                <c:pt idx="949">
                  <c:v>3.2280000000000002</c:v>
                </c:pt>
                <c:pt idx="950">
                  <c:v>3.2280000000000002</c:v>
                </c:pt>
                <c:pt idx="951">
                  <c:v>3.3370000000000002</c:v>
                </c:pt>
                <c:pt idx="952">
                  <c:v>3.2650000000000001</c:v>
                </c:pt>
                <c:pt idx="953">
                  <c:v>3.258</c:v>
                </c:pt>
                <c:pt idx="954">
                  <c:v>3.3490000000000002</c:v>
                </c:pt>
                <c:pt idx="955">
                  <c:v>3.351</c:v>
                </c:pt>
                <c:pt idx="956">
                  <c:v>3.294</c:v>
                </c:pt>
                <c:pt idx="957">
                  <c:v>3.3660000000000001</c:v>
                </c:pt>
                <c:pt idx="958">
                  <c:v>3.488</c:v>
                </c:pt>
                <c:pt idx="959">
                  <c:v>3.617</c:v>
                </c:pt>
                <c:pt idx="960">
                  <c:v>3.488</c:v>
                </c:pt>
                <c:pt idx="961">
                  <c:v>3.4420000000000002</c:v>
                </c:pt>
                <c:pt idx="962">
                  <c:v>3.3650000000000002</c:v>
                </c:pt>
                <c:pt idx="963">
                  <c:v>3.2839999999999998</c:v>
                </c:pt>
                <c:pt idx="964">
                  <c:v>3.198</c:v>
                </c:pt>
                <c:pt idx="965">
                  <c:v>3.22</c:v>
                </c:pt>
                <c:pt idx="966">
                  <c:v>3.1829999999999998</c:v>
                </c:pt>
                <c:pt idx="967">
                  <c:v>3.2650000000000001</c:v>
                </c:pt>
                <c:pt idx="968">
                  <c:v>3.37</c:v>
                </c:pt>
                <c:pt idx="969">
                  <c:v>3.2610000000000001</c:v>
                </c:pt>
                <c:pt idx="970">
                  <c:v>3.2709999999999999</c:v>
                </c:pt>
                <c:pt idx="971">
                  <c:v>3.3980000000000001</c:v>
                </c:pt>
                <c:pt idx="972">
                  <c:v>3.298</c:v>
                </c:pt>
                <c:pt idx="973">
                  <c:v>3.1579999999999999</c:v>
                </c:pt>
                <c:pt idx="974">
                  <c:v>3.08</c:v>
                </c:pt>
                <c:pt idx="975">
                  <c:v>3.1709999999999998</c:v>
                </c:pt>
                <c:pt idx="976">
                  <c:v>3.19</c:v>
                </c:pt>
                <c:pt idx="977">
                  <c:v>3.1619999999999999</c:v>
                </c:pt>
                <c:pt idx="978">
                  <c:v>3.1019999999999999</c:v>
                </c:pt>
                <c:pt idx="979">
                  <c:v>3.1179999999999999</c:v>
                </c:pt>
                <c:pt idx="980">
                  <c:v>3.1040000000000001</c:v>
                </c:pt>
                <c:pt idx="981">
                  <c:v>3.1320000000000001</c:v>
                </c:pt>
                <c:pt idx="982">
                  <c:v>3.1949999999999998</c:v>
                </c:pt>
                <c:pt idx="983">
                  <c:v>3.169</c:v>
                </c:pt>
                <c:pt idx="984">
                  <c:v>3.2040000000000002</c:v>
                </c:pt>
                <c:pt idx="985">
                  <c:v>3.137</c:v>
                </c:pt>
                <c:pt idx="986">
                  <c:v>3.1749999999999998</c:v>
                </c:pt>
                <c:pt idx="987">
                  <c:v>3.1070000000000002</c:v>
                </c:pt>
                <c:pt idx="988">
                  <c:v>3.024</c:v>
                </c:pt>
                <c:pt idx="989">
                  <c:v>2.96</c:v>
                </c:pt>
                <c:pt idx="990">
                  <c:v>2.956</c:v>
                </c:pt>
                <c:pt idx="991">
                  <c:v>3.0129999999999999</c:v>
                </c:pt>
                <c:pt idx="992">
                  <c:v>2.9980000000000002</c:v>
                </c:pt>
                <c:pt idx="993">
                  <c:v>2.9820000000000002</c:v>
                </c:pt>
                <c:pt idx="994">
                  <c:v>2.9350000000000001</c:v>
                </c:pt>
                <c:pt idx="995">
                  <c:v>2.9710000000000001</c:v>
                </c:pt>
                <c:pt idx="996">
                  <c:v>3.0110000000000001</c:v>
                </c:pt>
                <c:pt idx="997">
                  <c:v>2.9630000000000001</c:v>
                </c:pt>
                <c:pt idx="998">
                  <c:v>3.0670000000000002</c:v>
                </c:pt>
                <c:pt idx="999">
                  <c:v>3.0569999999999999</c:v>
                </c:pt>
                <c:pt idx="1000">
                  <c:v>3.11</c:v>
                </c:pt>
                <c:pt idx="1001">
                  <c:v>3.2229999999999999</c:v>
                </c:pt>
                <c:pt idx="1002">
                  <c:v>3.1480000000000001</c:v>
                </c:pt>
                <c:pt idx="1003">
                  <c:v>3.2130000000000001</c:v>
                </c:pt>
                <c:pt idx="1004">
                  <c:v>3.2629999999999999</c:v>
                </c:pt>
                <c:pt idx="1005">
                  <c:v>3.4289999999999998</c:v>
                </c:pt>
                <c:pt idx="1006">
                  <c:v>3.4220000000000002</c:v>
                </c:pt>
                <c:pt idx="1007">
                  <c:v>3.42</c:v>
                </c:pt>
                <c:pt idx="1008">
                  <c:v>3.3969999999999998</c:v>
                </c:pt>
                <c:pt idx="1009">
                  <c:v>3.3570000000000002</c:v>
                </c:pt>
                <c:pt idx="1010">
                  <c:v>3.363</c:v>
                </c:pt>
                <c:pt idx="1011">
                  <c:v>3.3889999999999998</c:v>
                </c:pt>
                <c:pt idx="1012">
                  <c:v>3.266</c:v>
                </c:pt>
                <c:pt idx="1013">
                  <c:v>3.2570000000000001</c:v>
                </c:pt>
                <c:pt idx="1014">
                  <c:v>3.2629999999999999</c:v>
                </c:pt>
                <c:pt idx="1015">
                  <c:v>3.1320000000000001</c:v>
                </c:pt>
                <c:pt idx="1016">
                  <c:v>3.1280000000000001</c:v>
                </c:pt>
                <c:pt idx="1017">
                  <c:v>3.1419999999999999</c:v>
                </c:pt>
                <c:pt idx="1018">
                  <c:v>3.1339999999999999</c:v>
                </c:pt>
                <c:pt idx="1019">
                  <c:v>3.0830000000000002</c:v>
                </c:pt>
                <c:pt idx="1020">
                  <c:v>2.8929999999999998</c:v>
                </c:pt>
                <c:pt idx="1021">
                  <c:v>2.93</c:v>
                </c:pt>
                <c:pt idx="1022">
                  <c:v>2.97</c:v>
                </c:pt>
                <c:pt idx="1023">
                  <c:v>2.972</c:v>
                </c:pt>
                <c:pt idx="1024">
                  <c:v>3.081</c:v>
                </c:pt>
                <c:pt idx="1025">
                  <c:v>3.145</c:v>
                </c:pt>
                <c:pt idx="1026">
                  <c:v>3.12</c:v>
                </c:pt>
                <c:pt idx="1027">
                  <c:v>3.105</c:v>
                </c:pt>
                <c:pt idx="1028">
                  <c:v>3.1230000000000002</c:v>
                </c:pt>
                <c:pt idx="1029">
                  <c:v>3.07</c:v>
                </c:pt>
                <c:pt idx="1030">
                  <c:v>2.944</c:v>
                </c:pt>
                <c:pt idx="1031">
                  <c:v>3.0249999999999999</c:v>
                </c:pt>
                <c:pt idx="1032">
                  <c:v>3.1789999999999998</c:v>
                </c:pt>
                <c:pt idx="1033">
                  <c:v>3.2040000000000002</c:v>
                </c:pt>
                <c:pt idx="1034">
                  <c:v>3.2730000000000001</c:v>
                </c:pt>
                <c:pt idx="1035">
                  <c:v>3.3530000000000002</c:v>
                </c:pt>
                <c:pt idx="1036">
                  <c:v>3.4060000000000001</c:v>
                </c:pt>
                <c:pt idx="1037">
                  <c:v>3.4020000000000001</c:v>
                </c:pt>
                <c:pt idx="1038">
                  <c:v>3.407</c:v>
                </c:pt>
                <c:pt idx="1039">
                  <c:v>3.4020000000000001</c:v>
                </c:pt>
                <c:pt idx="1040">
                  <c:v>3.452</c:v>
                </c:pt>
                <c:pt idx="1041">
                  <c:v>3.4929999999999999</c:v>
                </c:pt>
                <c:pt idx="1042">
                  <c:v>3.52</c:v>
                </c:pt>
                <c:pt idx="1043">
                  <c:v>3.5390000000000001</c:v>
                </c:pt>
                <c:pt idx="1044">
                  <c:v>3.56</c:v>
                </c:pt>
                <c:pt idx="1045">
                  <c:v>3.5339999999999998</c:v>
                </c:pt>
                <c:pt idx="1046">
                  <c:v>3.6019999999999999</c:v>
                </c:pt>
                <c:pt idx="1047">
                  <c:v>3.5579999999999998</c:v>
                </c:pt>
                <c:pt idx="1048">
                  <c:v>3.4689999999999999</c:v>
                </c:pt>
                <c:pt idx="1049">
                  <c:v>3.528</c:v>
                </c:pt>
                <c:pt idx="1050">
                  <c:v>3.5630000000000002</c:v>
                </c:pt>
                <c:pt idx="1051">
                  <c:v>3.4769999999999999</c:v>
                </c:pt>
                <c:pt idx="1052">
                  <c:v>3.3460000000000001</c:v>
                </c:pt>
                <c:pt idx="1053">
                  <c:v>3.4350000000000001</c:v>
                </c:pt>
                <c:pt idx="1054">
                  <c:v>3.407</c:v>
                </c:pt>
                <c:pt idx="1055">
                  <c:v>3.3069999999999999</c:v>
                </c:pt>
                <c:pt idx="1056">
                  <c:v>3.1819999999999999</c:v>
                </c:pt>
                <c:pt idx="1057">
                  <c:v>3.0259999999999998</c:v>
                </c:pt>
                <c:pt idx="1058">
                  <c:v>3.0489999999999999</c:v>
                </c:pt>
                <c:pt idx="1059">
                  <c:v>2.7829999999999999</c:v>
                </c:pt>
                <c:pt idx="1060">
                  <c:v>2.95</c:v>
                </c:pt>
                <c:pt idx="1061">
                  <c:v>2.7589999999999999</c:v>
                </c:pt>
                <c:pt idx="1062">
                  <c:v>2.7389999999999999</c:v>
                </c:pt>
                <c:pt idx="1063">
                  <c:v>2.92</c:v>
                </c:pt>
                <c:pt idx="1064">
                  <c:v>2.847</c:v>
                </c:pt>
                <c:pt idx="1065">
                  <c:v>2.7829999999999999</c:v>
                </c:pt>
                <c:pt idx="1066">
                  <c:v>2.7349999999999999</c:v>
                </c:pt>
                <c:pt idx="1067">
                  <c:v>2.8460000000000001</c:v>
                </c:pt>
                <c:pt idx="1068">
                  <c:v>2.8420000000000001</c:v>
                </c:pt>
                <c:pt idx="1069">
                  <c:v>2.9209999999999998</c:v>
                </c:pt>
                <c:pt idx="1070">
                  <c:v>2.8660000000000001</c:v>
                </c:pt>
                <c:pt idx="1071">
                  <c:v>2.9020000000000001</c:v>
                </c:pt>
                <c:pt idx="1072">
                  <c:v>2.819</c:v>
                </c:pt>
                <c:pt idx="1073">
                  <c:v>2.8180000000000001</c:v>
                </c:pt>
                <c:pt idx="1074">
                  <c:v>2.7410000000000001</c:v>
                </c:pt>
                <c:pt idx="1075">
                  <c:v>2.794</c:v>
                </c:pt>
                <c:pt idx="1076">
                  <c:v>2.8279999999999998</c:v>
                </c:pt>
                <c:pt idx="1077">
                  <c:v>2.8679999999999999</c:v>
                </c:pt>
                <c:pt idx="1078">
                  <c:v>2.8730000000000002</c:v>
                </c:pt>
                <c:pt idx="1079">
                  <c:v>2.9119999999999999</c:v>
                </c:pt>
                <c:pt idx="1080">
                  <c:v>3.008</c:v>
                </c:pt>
                <c:pt idx="1081">
                  <c:v>3.0859999999999999</c:v>
                </c:pt>
                <c:pt idx="1082">
                  <c:v>3.0779999999999998</c:v>
                </c:pt>
                <c:pt idx="1083">
                  <c:v>3.0289999999999999</c:v>
                </c:pt>
                <c:pt idx="1084">
                  <c:v>3.036</c:v>
                </c:pt>
                <c:pt idx="1085">
                  <c:v>2.8610000000000002</c:v>
                </c:pt>
                <c:pt idx="1086">
                  <c:v>2.9319999999999999</c:v>
                </c:pt>
                <c:pt idx="1087">
                  <c:v>2.9319999999999999</c:v>
                </c:pt>
                <c:pt idx="1088">
                  <c:v>2.94</c:v>
                </c:pt>
                <c:pt idx="1089">
                  <c:v>3.153</c:v>
                </c:pt>
                <c:pt idx="1090">
                  <c:v>3.1190000000000002</c:v>
                </c:pt>
                <c:pt idx="1091">
                  <c:v>2.9750000000000001</c:v>
                </c:pt>
                <c:pt idx="1092">
                  <c:v>2.9569999999999999</c:v>
                </c:pt>
                <c:pt idx="1093">
                  <c:v>3.06</c:v>
                </c:pt>
                <c:pt idx="1094">
                  <c:v>3.093</c:v>
                </c:pt>
                <c:pt idx="1095">
                  <c:v>3.129</c:v>
                </c:pt>
                <c:pt idx="1096">
                  <c:v>3.0720000000000001</c:v>
                </c:pt>
                <c:pt idx="1097">
                  <c:v>3.0329999999999999</c:v>
                </c:pt>
                <c:pt idx="1098">
                  <c:v>3.137</c:v>
                </c:pt>
                <c:pt idx="1099">
                  <c:v>3.1459999999999999</c:v>
                </c:pt>
                <c:pt idx="1100">
                  <c:v>3.169</c:v>
                </c:pt>
                <c:pt idx="1101">
                  <c:v>3.2679999999999998</c:v>
                </c:pt>
                <c:pt idx="1102">
                  <c:v>3.3740000000000001</c:v>
                </c:pt>
                <c:pt idx="1103">
                  <c:v>3.3650000000000002</c:v>
                </c:pt>
                <c:pt idx="1104">
                  <c:v>3.4249999999999998</c:v>
                </c:pt>
                <c:pt idx="1105">
                  <c:v>3.3860000000000001</c:v>
                </c:pt>
                <c:pt idx="1106">
                  <c:v>3.4809999999999999</c:v>
                </c:pt>
                <c:pt idx="1107">
                  <c:v>3.51</c:v>
                </c:pt>
                <c:pt idx="1108">
                  <c:v>3.5</c:v>
                </c:pt>
                <c:pt idx="1109">
                  <c:v>3.4950000000000001</c:v>
                </c:pt>
                <c:pt idx="1110">
                  <c:v>3.4489999999999998</c:v>
                </c:pt>
                <c:pt idx="1111">
                  <c:v>3.48</c:v>
                </c:pt>
                <c:pt idx="1112">
                  <c:v>3.5569999999999999</c:v>
                </c:pt>
                <c:pt idx="1113">
                  <c:v>3.6709999999999998</c:v>
                </c:pt>
                <c:pt idx="1114">
                  <c:v>3.7570000000000001</c:v>
                </c:pt>
                <c:pt idx="1115">
                  <c:v>3.8029999999999999</c:v>
                </c:pt>
                <c:pt idx="1116">
                  <c:v>3.9590000000000001</c:v>
                </c:pt>
                <c:pt idx="1117">
                  <c:v>3.9260000000000002</c:v>
                </c:pt>
                <c:pt idx="1118">
                  <c:v>3.93</c:v>
                </c:pt>
                <c:pt idx="1119">
                  <c:v>4.0010000000000003</c:v>
                </c:pt>
                <c:pt idx="1120">
                  <c:v>4.1050000000000004</c:v>
                </c:pt>
                <c:pt idx="1121">
                  <c:v>4.1230000000000002</c:v>
                </c:pt>
                <c:pt idx="1122">
                  <c:v>4.1029999999999998</c:v>
                </c:pt>
                <c:pt idx="1123">
                  <c:v>4.0819999999999999</c:v>
                </c:pt>
                <c:pt idx="1124">
                  <c:v>4.0430000000000001</c:v>
                </c:pt>
                <c:pt idx="1125">
                  <c:v>4.0739999999999998</c:v>
                </c:pt>
                <c:pt idx="1126">
                  <c:v>4.13</c:v>
                </c:pt>
                <c:pt idx="1127">
                  <c:v>4.0529999999999999</c:v>
                </c:pt>
                <c:pt idx="1128">
                  <c:v>4.032</c:v>
                </c:pt>
                <c:pt idx="1129">
                  <c:v>3.97</c:v>
                </c:pt>
                <c:pt idx="1130">
                  <c:v>4.024</c:v>
                </c:pt>
                <c:pt idx="1131">
                  <c:v>4.1459999999999999</c:v>
                </c:pt>
                <c:pt idx="1132">
                  <c:v>4.0880000000000001</c:v>
                </c:pt>
                <c:pt idx="1133">
                  <c:v>4.1100000000000003</c:v>
                </c:pt>
                <c:pt idx="1134">
                  <c:v>4.1150000000000002</c:v>
                </c:pt>
                <c:pt idx="1135">
                  <c:v>4.242</c:v>
                </c:pt>
                <c:pt idx="1136">
                  <c:v>4.3550000000000004</c:v>
                </c:pt>
                <c:pt idx="1137">
                  <c:v>4.3319999999999999</c:v>
                </c:pt>
                <c:pt idx="1138">
                  <c:v>4.2290000000000001</c:v>
                </c:pt>
                <c:pt idx="1139">
                  <c:v>4.1710000000000003</c:v>
                </c:pt>
                <c:pt idx="1140">
                  <c:v>4.0579999999999998</c:v>
                </c:pt>
                <c:pt idx="1141">
                  <c:v>4.0030000000000001</c:v>
                </c:pt>
                <c:pt idx="1142">
                  <c:v>4.0110000000000001</c:v>
                </c:pt>
                <c:pt idx="1143">
                  <c:v>3.98</c:v>
                </c:pt>
                <c:pt idx="1144">
                  <c:v>3.891</c:v>
                </c:pt>
                <c:pt idx="1145">
                  <c:v>4.0049999999999999</c:v>
                </c:pt>
                <c:pt idx="1146">
                  <c:v>4.0350000000000001</c:v>
                </c:pt>
                <c:pt idx="1147">
                  <c:v>4.008</c:v>
                </c:pt>
                <c:pt idx="1148">
                  <c:v>4.05</c:v>
                </c:pt>
                <c:pt idx="1149">
                  <c:v>3.9809999999999999</c:v>
                </c:pt>
                <c:pt idx="1150">
                  <c:v>3.9039999999999999</c:v>
                </c:pt>
                <c:pt idx="1151">
                  <c:v>3.9689999999999999</c:v>
                </c:pt>
                <c:pt idx="1152">
                  <c:v>3.9729999999999999</c:v>
                </c:pt>
                <c:pt idx="1153">
                  <c:v>3.85</c:v>
                </c:pt>
                <c:pt idx="1154">
                  <c:v>3.84</c:v>
                </c:pt>
                <c:pt idx="1155">
                  <c:v>3.8559999999999999</c:v>
                </c:pt>
                <c:pt idx="1156">
                  <c:v>3.9420000000000002</c:v>
                </c:pt>
                <c:pt idx="1157">
                  <c:v>3.89</c:v>
                </c:pt>
                <c:pt idx="1158">
                  <c:v>3.8090000000000002</c:v>
                </c:pt>
                <c:pt idx="1159">
                  <c:v>3.8079999999999998</c:v>
                </c:pt>
                <c:pt idx="1160">
                  <c:v>3.8490000000000002</c:v>
                </c:pt>
                <c:pt idx="1161">
                  <c:v>3.8889999999999998</c:v>
                </c:pt>
                <c:pt idx="1162">
                  <c:v>3.9630000000000001</c:v>
                </c:pt>
                <c:pt idx="1163">
                  <c:v>4.0069999999999997</c:v>
                </c:pt>
                <c:pt idx="1164">
                  <c:v>3.9620000000000002</c:v>
                </c:pt>
                <c:pt idx="1165">
                  <c:v>4.0110000000000001</c:v>
                </c:pt>
                <c:pt idx="1166">
                  <c:v>3.9359999999999999</c:v>
                </c:pt>
                <c:pt idx="1167">
                  <c:v>3.9409999999999998</c:v>
                </c:pt>
                <c:pt idx="1168">
                  <c:v>3.9390000000000001</c:v>
                </c:pt>
                <c:pt idx="1169">
                  <c:v>3.8959999999999999</c:v>
                </c:pt>
                <c:pt idx="1170">
                  <c:v>3.843</c:v>
                </c:pt>
                <c:pt idx="1171">
                  <c:v>3.8929999999999998</c:v>
                </c:pt>
                <c:pt idx="1172">
                  <c:v>3.919</c:v>
                </c:pt>
                <c:pt idx="1173">
                  <c:v>3.9089999999999998</c:v>
                </c:pt>
                <c:pt idx="1174">
                  <c:v>3.8639999999999999</c:v>
                </c:pt>
                <c:pt idx="1175">
                  <c:v>3.8210000000000002</c:v>
                </c:pt>
                <c:pt idx="1176">
                  <c:v>3.81</c:v>
                </c:pt>
                <c:pt idx="1177">
                  <c:v>3.85</c:v>
                </c:pt>
                <c:pt idx="1178">
                  <c:v>3.851</c:v>
                </c:pt>
                <c:pt idx="1179">
                  <c:v>3.84</c:v>
                </c:pt>
                <c:pt idx="1180">
                  <c:v>3.883</c:v>
                </c:pt>
                <c:pt idx="1181">
                  <c:v>3.8359999999999999</c:v>
                </c:pt>
                <c:pt idx="1182">
                  <c:v>3.8730000000000002</c:v>
                </c:pt>
                <c:pt idx="1183">
                  <c:v>3.8759999999999999</c:v>
                </c:pt>
                <c:pt idx="1184">
                  <c:v>3.883</c:v>
                </c:pt>
                <c:pt idx="1185">
                  <c:v>3.8740000000000001</c:v>
                </c:pt>
                <c:pt idx="1186">
                  <c:v>3.8690000000000002</c:v>
                </c:pt>
                <c:pt idx="1187">
                  <c:v>3.9350000000000001</c:v>
                </c:pt>
                <c:pt idx="1188">
                  <c:v>3.92</c:v>
                </c:pt>
                <c:pt idx="1189">
                  <c:v>3.9729999999999999</c:v>
                </c:pt>
                <c:pt idx="1190">
                  <c:v>4.069</c:v>
                </c:pt>
                <c:pt idx="1191">
                  <c:v>4.0590000000000002</c:v>
                </c:pt>
                <c:pt idx="1192">
                  <c:v>4.0339999999999998</c:v>
                </c:pt>
                <c:pt idx="1193">
                  <c:v>4.0759999999999996</c:v>
                </c:pt>
                <c:pt idx="1194">
                  <c:v>4.0469999999999997</c:v>
                </c:pt>
                <c:pt idx="1195">
                  <c:v>4.1040000000000001</c:v>
                </c:pt>
                <c:pt idx="1196">
                  <c:v>4.0830000000000002</c:v>
                </c:pt>
                <c:pt idx="1197">
                  <c:v>4.0990000000000002</c:v>
                </c:pt>
                <c:pt idx="1198">
                  <c:v>4.1440000000000001</c:v>
                </c:pt>
                <c:pt idx="1199">
                  <c:v>4.0599999999999996</c:v>
                </c:pt>
                <c:pt idx="1200">
                  <c:v>4.0229999999999997</c:v>
                </c:pt>
                <c:pt idx="1201">
                  <c:v>3.9820000000000002</c:v>
                </c:pt>
                <c:pt idx="1202">
                  <c:v>3.9540000000000002</c:v>
                </c:pt>
                <c:pt idx="1203">
                  <c:v>4.0060000000000002</c:v>
                </c:pt>
                <c:pt idx="1204">
                  <c:v>3.996</c:v>
                </c:pt>
                <c:pt idx="1205">
                  <c:v>4.0490000000000004</c:v>
                </c:pt>
                <c:pt idx="1206">
                  <c:v>4.0540000000000003</c:v>
                </c:pt>
                <c:pt idx="1207">
                  <c:v>4.1870000000000003</c:v>
                </c:pt>
                <c:pt idx="1208">
                  <c:v>4.2750000000000004</c:v>
                </c:pt>
                <c:pt idx="1209">
                  <c:v>4.3159999999999998</c:v>
                </c:pt>
                <c:pt idx="1210">
                  <c:v>4.2910000000000004</c:v>
                </c:pt>
                <c:pt idx="1211">
                  <c:v>4.2930000000000001</c:v>
                </c:pt>
                <c:pt idx="1212">
                  <c:v>4.2249999999999996</c:v>
                </c:pt>
                <c:pt idx="1213">
                  <c:v>4.3449999999999998</c:v>
                </c:pt>
                <c:pt idx="1214">
                  <c:v>4.4050000000000002</c:v>
                </c:pt>
                <c:pt idx="1215">
                  <c:v>4.3860000000000001</c:v>
                </c:pt>
                <c:pt idx="1216">
                  <c:v>4.4390000000000001</c:v>
                </c:pt>
                <c:pt idx="1217">
                  <c:v>4.468</c:v>
                </c:pt>
                <c:pt idx="1218">
                  <c:v>4.4669999999999996</c:v>
                </c:pt>
                <c:pt idx="1219">
                  <c:v>4.3710000000000004</c:v>
                </c:pt>
                <c:pt idx="1220">
                  <c:v>4.3499999999999996</c:v>
                </c:pt>
                <c:pt idx="1221">
                  <c:v>4.3419999999999996</c:v>
                </c:pt>
                <c:pt idx="1222">
                  <c:v>4.3079999999999998</c:v>
                </c:pt>
                <c:pt idx="1223">
                  <c:v>4.2279999999999998</c:v>
                </c:pt>
                <c:pt idx="1224">
                  <c:v>4.2300000000000004</c:v>
                </c:pt>
                <c:pt idx="1225">
                  <c:v>4.3</c:v>
                </c:pt>
                <c:pt idx="1226">
                  <c:v>4.3460000000000001</c:v>
                </c:pt>
                <c:pt idx="1227">
                  <c:v>4.3470000000000004</c:v>
                </c:pt>
                <c:pt idx="1228">
                  <c:v>4.2409999999999997</c:v>
                </c:pt>
                <c:pt idx="1229">
                  <c:v>4.234</c:v>
                </c:pt>
                <c:pt idx="1230">
                  <c:v>4.16</c:v>
                </c:pt>
                <c:pt idx="1231">
                  <c:v>4.1890000000000001</c:v>
                </c:pt>
                <c:pt idx="1232">
                  <c:v>4.1589999999999998</c:v>
                </c:pt>
                <c:pt idx="1233">
                  <c:v>4.1520000000000001</c:v>
                </c:pt>
                <c:pt idx="1234">
                  <c:v>4.2050000000000001</c:v>
                </c:pt>
                <c:pt idx="1235">
                  <c:v>4.25</c:v>
                </c:pt>
                <c:pt idx="1236">
                  <c:v>4.274</c:v>
                </c:pt>
                <c:pt idx="1237">
                  <c:v>4.2270000000000003</c:v>
                </c:pt>
                <c:pt idx="1238">
                  <c:v>4.0960000000000001</c:v>
                </c:pt>
                <c:pt idx="1239">
                  <c:v>4.1029999999999998</c:v>
                </c:pt>
                <c:pt idx="1240">
                  <c:v>4.1529999999999996</c:v>
                </c:pt>
                <c:pt idx="1241">
                  <c:v>4.1120000000000001</c:v>
                </c:pt>
                <c:pt idx="1242">
                  <c:v>4.0730000000000004</c:v>
                </c:pt>
                <c:pt idx="1243">
                  <c:v>3.9740000000000002</c:v>
                </c:pt>
                <c:pt idx="1244">
                  <c:v>4.01</c:v>
                </c:pt>
                <c:pt idx="1245">
                  <c:v>3.99</c:v>
                </c:pt>
                <c:pt idx="1246">
                  <c:v>4.0339999999999998</c:v>
                </c:pt>
                <c:pt idx="1247">
                  <c:v>4.0229999999999997</c:v>
                </c:pt>
                <c:pt idx="1248">
                  <c:v>4.0190000000000001</c:v>
                </c:pt>
                <c:pt idx="1249">
                  <c:v>3.8439999999999999</c:v>
                </c:pt>
                <c:pt idx="1250">
                  <c:v>3.8679999999999999</c:v>
                </c:pt>
                <c:pt idx="1251">
                  <c:v>3.7890000000000001</c:v>
                </c:pt>
                <c:pt idx="1252">
                  <c:v>3.8380000000000001</c:v>
                </c:pt>
                <c:pt idx="1253">
                  <c:v>3.7839999999999998</c:v>
                </c:pt>
                <c:pt idx="1254">
                  <c:v>3.746</c:v>
                </c:pt>
                <c:pt idx="1255">
                  <c:v>3.7370000000000001</c:v>
                </c:pt>
                <c:pt idx="1256">
                  <c:v>3.6930000000000001</c:v>
                </c:pt>
                <c:pt idx="1257">
                  <c:v>3.6520000000000001</c:v>
                </c:pt>
                <c:pt idx="1258">
                  <c:v>3.6909999999999998</c:v>
                </c:pt>
                <c:pt idx="1259">
                  <c:v>3.7240000000000002</c:v>
                </c:pt>
                <c:pt idx="1260">
                  <c:v>3.7949999999999999</c:v>
                </c:pt>
                <c:pt idx="1261">
                  <c:v>3.7930000000000001</c:v>
                </c:pt>
                <c:pt idx="1262">
                  <c:v>3.8540000000000001</c:v>
                </c:pt>
                <c:pt idx="1263">
                  <c:v>3.8919999999999999</c:v>
                </c:pt>
                <c:pt idx="1264">
                  <c:v>3.8279999999999998</c:v>
                </c:pt>
                <c:pt idx="1265">
                  <c:v>3.8380000000000001</c:v>
                </c:pt>
                <c:pt idx="1266">
                  <c:v>3.8290000000000002</c:v>
                </c:pt>
                <c:pt idx="1267">
                  <c:v>3.7749999999999999</c:v>
                </c:pt>
                <c:pt idx="1268">
                  <c:v>3.7549999999999999</c:v>
                </c:pt>
                <c:pt idx="1269">
                  <c:v>3.8140000000000001</c:v>
                </c:pt>
                <c:pt idx="1270">
                  <c:v>3.8620000000000001</c:v>
                </c:pt>
                <c:pt idx="1271">
                  <c:v>3.915</c:v>
                </c:pt>
                <c:pt idx="1272">
                  <c:v>3.93</c:v>
                </c:pt>
                <c:pt idx="1273">
                  <c:v>3.9049999999999998</c:v>
                </c:pt>
                <c:pt idx="1274">
                  <c:v>3.8620000000000001</c:v>
                </c:pt>
                <c:pt idx="1275">
                  <c:v>3.8730000000000002</c:v>
                </c:pt>
                <c:pt idx="1276">
                  <c:v>3.8740000000000001</c:v>
                </c:pt>
                <c:pt idx="1277">
                  <c:v>3.8220000000000001</c:v>
                </c:pt>
                <c:pt idx="1278">
                  <c:v>3.7909999999999999</c:v>
                </c:pt>
                <c:pt idx="1279">
                  <c:v>3.6419999999999999</c:v>
                </c:pt>
                <c:pt idx="1280">
                  <c:v>3.6459999999999999</c:v>
                </c:pt>
                <c:pt idx="1281">
                  <c:v>3.6280000000000001</c:v>
                </c:pt>
                <c:pt idx="1282">
                  <c:v>3.7440000000000002</c:v>
                </c:pt>
                <c:pt idx="1283">
                  <c:v>3.7629999999999999</c:v>
                </c:pt>
                <c:pt idx="1284">
                  <c:v>3.7189999999999999</c:v>
                </c:pt>
                <c:pt idx="1285">
                  <c:v>3.738</c:v>
                </c:pt>
                <c:pt idx="1286">
                  <c:v>3.7629999999999999</c:v>
                </c:pt>
                <c:pt idx="1287">
                  <c:v>3.82</c:v>
                </c:pt>
                <c:pt idx="1288">
                  <c:v>3.8279999999999998</c:v>
                </c:pt>
                <c:pt idx="1289">
                  <c:v>3.9129999999999998</c:v>
                </c:pt>
                <c:pt idx="1290">
                  <c:v>3.7839999999999998</c:v>
                </c:pt>
                <c:pt idx="1291">
                  <c:v>3.8330000000000002</c:v>
                </c:pt>
                <c:pt idx="1292">
                  <c:v>3.8140000000000001</c:v>
                </c:pt>
                <c:pt idx="1293">
                  <c:v>3.802</c:v>
                </c:pt>
                <c:pt idx="1294">
                  <c:v>3.78</c:v>
                </c:pt>
                <c:pt idx="1295">
                  <c:v>3.79</c:v>
                </c:pt>
                <c:pt idx="1296">
                  <c:v>3.835</c:v>
                </c:pt>
                <c:pt idx="1297">
                  <c:v>3.7669999999999999</c:v>
                </c:pt>
                <c:pt idx="1298">
                  <c:v>3.774</c:v>
                </c:pt>
                <c:pt idx="1299">
                  <c:v>3.7810000000000001</c:v>
                </c:pt>
                <c:pt idx="1300">
                  <c:v>3.754</c:v>
                </c:pt>
                <c:pt idx="1301">
                  <c:v>3.7639999999999998</c:v>
                </c:pt>
                <c:pt idx="1302">
                  <c:v>3.7320000000000002</c:v>
                </c:pt>
                <c:pt idx="1303">
                  <c:v>3.7320000000000002</c:v>
                </c:pt>
                <c:pt idx="1304">
                  <c:v>3.677</c:v>
                </c:pt>
                <c:pt idx="1305">
                  <c:v>3.6960000000000002</c:v>
                </c:pt>
                <c:pt idx="1306">
                  <c:v>3.6659999999999999</c:v>
                </c:pt>
                <c:pt idx="1307">
                  <c:v>3.6480000000000001</c:v>
                </c:pt>
                <c:pt idx="1308">
                  <c:v>3.6429999999999998</c:v>
                </c:pt>
                <c:pt idx="1309">
                  <c:v>3.706</c:v>
                </c:pt>
                <c:pt idx="1310">
                  <c:v>3.74</c:v>
                </c:pt>
                <c:pt idx="1311">
                  <c:v>3.8029999999999999</c:v>
                </c:pt>
                <c:pt idx="1312">
                  <c:v>3.7970000000000002</c:v>
                </c:pt>
                <c:pt idx="1313">
                  <c:v>3.7389999999999999</c:v>
                </c:pt>
                <c:pt idx="1314">
                  <c:v>3.726</c:v>
                </c:pt>
                <c:pt idx="1315">
                  <c:v>3.778</c:v>
                </c:pt>
                <c:pt idx="1316">
                  <c:v>3.7469999999999999</c:v>
                </c:pt>
                <c:pt idx="1317">
                  <c:v>3.714</c:v>
                </c:pt>
                <c:pt idx="1318">
                  <c:v>3.7170000000000001</c:v>
                </c:pt>
                <c:pt idx="1319">
                  <c:v>3.6970000000000001</c:v>
                </c:pt>
                <c:pt idx="1320">
                  <c:v>3.6659999999999999</c:v>
                </c:pt>
                <c:pt idx="1321">
                  <c:v>3.714</c:v>
                </c:pt>
                <c:pt idx="1322">
                  <c:v>3.7719999999999998</c:v>
                </c:pt>
                <c:pt idx="1323">
                  <c:v>3.8029999999999999</c:v>
                </c:pt>
                <c:pt idx="1324">
                  <c:v>3.75</c:v>
                </c:pt>
                <c:pt idx="1325">
                  <c:v>3.8170000000000002</c:v>
                </c:pt>
                <c:pt idx="1326">
                  <c:v>3.7879999999999998</c:v>
                </c:pt>
                <c:pt idx="1327">
                  <c:v>3.762</c:v>
                </c:pt>
                <c:pt idx="1328">
                  <c:v>3.8879999999999999</c:v>
                </c:pt>
                <c:pt idx="1329">
                  <c:v>3.9039999999999999</c:v>
                </c:pt>
                <c:pt idx="1330">
                  <c:v>3.8959999999999999</c:v>
                </c:pt>
                <c:pt idx="1331">
                  <c:v>3.9409999999999998</c:v>
                </c:pt>
                <c:pt idx="1332">
                  <c:v>3.9929999999999999</c:v>
                </c:pt>
                <c:pt idx="1333">
                  <c:v>3.9159999999999999</c:v>
                </c:pt>
                <c:pt idx="1334">
                  <c:v>3.8780000000000001</c:v>
                </c:pt>
                <c:pt idx="1335">
                  <c:v>3.931</c:v>
                </c:pt>
                <c:pt idx="1336">
                  <c:v>3.8940000000000001</c:v>
                </c:pt>
                <c:pt idx="1337">
                  <c:v>4.077</c:v>
                </c:pt>
                <c:pt idx="1338">
                  <c:v>4.1829999999999998</c:v>
                </c:pt>
                <c:pt idx="1339">
                  <c:v>4.157</c:v>
                </c:pt>
                <c:pt idx="1340">
                  <c:v>4.0940000000000003</c:v>
                </c:pt>
                <c:pt idx="1341">
                  <c:v>4.1710000000000003</c:v>
                </c:pt>
                <c:pt idx="1342">
                  <c:v>4.1210000000000004</c:v>
                </c:pt>
                <c:pt idx="1343">
                  <c:v>4.0919999999999996</c:v>
                </c:pt>
                <c:pt idx="1344">
                  <c:v>4.0819999999999999</c:v>
                </c:pt>
                <c:pt idx="1345">
                  <c:v>3.9740000000000002</c:v>
                </c:pt>
                <c:pt idx="1346">
                  <c:v>3.9950000000000001</c:v>
                </c:pt>
                <c:pt idx="1347">
                  <c:v>4.0380000000000003</c:v>
                </c:pt>
                <c:pt idx="1348">
                  <c:v>4.0170000000000003</c:v>
                </c:pt>
                <c:pt idx="1349">
                  <c:v>4.0179999999999998</c:v>
                </c:pt>
                <c:pt idx="1350">
                  <c:v>4.0090000000000003</c:v>
                </c:pt>
                <c:pt idx="1351">
                  <c:v>4.0110000000000001</c:v>
                </c:pt>
                <c:pt idx="1352">
                  <c:v>3.895</c:v>
                </c:pt>
                <c:pt idx="1353">
                  <c:v>3.9</c:v>
                </c:pt>
                <c:pt idx="1354">
                  <c:v>3.93</c:v>
                </c:pt>
                <c:pt idx="1355">
                  <c:v>3.9489999999999998</c:v>
                </c:pt>
                <c:pt idx="1356">
                  <c:v>3.9910000000000001</c:v>
                </c:pt>
                <c:pt idx="1357">
                  <c:v>3.99</c:v>
                </c:pt>
                <c:pt idx="1358">
                  <c:v>4.0380000000000003</c:v>
                </c:pt>
                <c:pt idx="1359">
                  <c:v>4.0179999999999998</c:v>
                </c:pt>
                <c:pt idx="1360">
                  <c:v>4.0119999999999996</c:v>
                </c:pt>
                <c:pt idx="1361">
                  <c:v>4.1239999999999997</c:v>
                </c:pt>
                <c:pt idx="1362">
                  <c:v>4.1349999999999998</c:v>
                </c:pt>
                <c:pt idx="1363">
                  <c:v>4.1070000000000002</c:v>
                </c:pt>
                <c:pt idx="1364">
                  <c:v>4.0780000000000003</c:v>
                </c:pt>
                <c:pt idx="1365">
                  <c:v>4.03</c:v>
                </c:pt>
                <c:pt idx="1366">
                  <c:v>3.9929999999999999</c:v>
                </c:pt>
                <c:pt idx="1367">
                  <c:v>3.9729999999999999</c:v>
                </c:pt>
                <c:pt idx="1368">
                  <c:v>3.9620000000000002</c:v>
                </c:pt>
                <c:pt idx="1369">
                  <c:v>4.0389999999999997</c:v>
                </c:pt>
                <c:pt idx="1370">
                  <c:v>4.0069999999999997</c:v>
                </c:pt>
                <c:pt idx="1371">
                  <c:v>3.9489999999999998</c:v>
                </c:pt>
                <c:pt idx="1372">
                  <c:v>3.8879999999999999</c:v>
                </c:pt>
                <c:pt idx="1373">
                  <c:v>3.8650000000000002</c:v>
                </c:pt>
                <c:pt idx="1374">
                  <c:v>3.919</c:v>
                </c:pt>
                <c:pt idx="1375">
                  <c:v>3.968</c:v>
                </c:pt>
                <c:pt idx="1376">
                  <c:v>3.9870000000000001</c:v>
                </c:pt>
                <c:pt idx="1377">
                  <c:v>3.9889999999999999</c:v>
                </c:pt>
                <c:pt idx="1378">
                  <c:v>4.0060000000000002</c:v>
                </c:pt>
                <c:pt idx="1379">
                  <c:v>3.9969999999999999</c:v>
                </c:pt>
                <c:pt idx="1380">
                  <c:v>4.1749999999999998</c:v>
                </c:pt>
                <c:pt idx="1381">
                  <c:v>4.2380000000000004</c:v>
                </c:pt>
                <c:pt idx="1382">
                  <c:v>4.1449999999999996</c:v>
                </c:pt>
                <c:pt idx="1383">
                  <c:v>4.1849999999999996</c:v>
                </c:pt>
                <c:pt idx="1384">
                  <c:v>4.194</c:v>
                </c:pt>
                <c:pt idx="1385">
                  <c:v>4.2149999999999999</c:v>
                </c:pt>
                <c:pt idx="1386">
                  <c:v>4.2169999999999996</c:v>
                </c:pt>
                <c:pt idx="1387">
                  <c:v>4.2160000000000002</c:v>
                </c:pt>
                <c:pt idx="1388">
                  <c:v>4.1820000000000004</c:v>
                </c:pt>
                <c:pt idx="1389">
                  <c:v>4.1740000000000004</c:v>
                </c:pt>
                <c:pt idx="1390">
                  <c:v>4.1459999999999999</c:v>
                </c:pt>
                <c:pt idx="1391">
                  <c:v>4.1749999999999998</c:v>
                </c:pt>
                <c:pt idx="1392">
                  <c:v>4.1210000000000004</c:v>
                </c:pt>
                <c:pt idx="1393">
                  <c:v>4.1109999999999998</c:v>
                </c:pt>
                <c:pt idx="1394">
                  <c:v>4.0419999999999998</c:v>
                </c:pt>
                <c:pt idx="1395">
                  <c:v>4.0469999999999997</c:v>
                </c:pt>
                <c:pt idx="1396">
                  <c:v>4.0650000000000004</c:v>
                </c:pt>
                <c:pt idx="1397">
                  <c:v>4.0830000000000002</c:v>
                </c:pt>
                <c:pt idx="1398">
                  <c:v>4.093</c:v>
                </c:pt>
                <c:pt idx="1399">
                  <c:v>4.1319999999999997</c:v>
                </c:pt>
                <c:pt idx="1400">
                  <c:v>4.1210000000000004</c:v>
                </c:pt>
                <c:pt idx="1401">
                  <c:v>4.0640000000000001</c:v>
                </c:pt>
                <c:pt idx="1402">
                  <c:v>4.0590000000000002</c:v>
                </c:pt>
                <c:pt idx="1403">
                  <c:v>4.0490000000000004</c:v>
                </c:pt>
                <c:pt idx="1404">
                  <c:v>4.0549999999999997</c:v>
                </c:pt>
                <c:pt idx="1405">
                  <c:v>3.831</c:v>
                </c:pt>
                <c:pt idx="1406">
                  <c:v>3.81</c:v>
                </c:pt>
                <c:pt idx="1407">
                  <c:v>3.7530000000000001</c:v>
                </c:pt>
                <c:pt idx="1408">
                  <c:v>3.64</c:v>
                </c:pt>
                <c:pt idx="1409">
                  <c:v>3.706</c:v>
                </c:pt>
                <c:pt idx="1410">
                  <c:v>3.7509999999999999</c:v>
                </c:pt>
                <c:pt idx="1411">
                  <c:v>3.7170000000000001</c:v>
                </c:pt>
                <c:pt idx="1412">
                  <c:v>3.7229999999999999</c:v>
                </c:pt>
                <c:pt idx="1413">
                  <c:v>3.7290000000000001</c:v>
                </c:pt>
                <c:pt idx="1414">
                  <c:v>3.6890000000000001</c:v>
                </c:pt>
                <c:pt idx="1415">
                  <c:v>3.5920000000000001</c:v>
                </c:pt>
                <c:pt idx="1416">
                  <c:v>3.56</c:v>
                </c:pt>
                <c:pt idx="1417">
                  <c:v>3.6259999999999999</c:v>
                </c:pt>
                <c:pt idx="1418">
                  <c:v>3.6110000000000002</c:v>
                </c:pt>
                <c:pt idx="1419">
                  <c:v>3.6459999999999999</c:v>
                </c:pt>
                <c:pt idx="1420">
                  <c:v>3.5870000000000002</c:v>
                </c:pt>
                <c:pt idx="1421">
                  <c:v>3.5659999999999998</c:v>
                </c:pt>
                <c:pt idx="1422">
                  <c:v>3.5950000000000002</c:v>
                </c:pt>
                <c:pt idx="1423">
                  <c:v>3.5030000000000001</c:v>
                </c:pt>
                <c:pt idx="1424">
                  <c:v>3.56</c:v>
                </c:pt>
                <c:pt idx="1425">
                  <c:v>3.601</c:v>
                </c:pt>
                <c:pt idx="1426">
                  <c:v>3.6110000000000002</c:v>
                </c:pt>
                <c:pt idx="1427">
                  <c:v>3.6160000000000001</c:v>
                </c:pt>
                <c:pt idx="1428">
                  <c:v>3.6749999999999998</c:v>
                </c:pt>
                <c:pt idx="1429">
                  <c:v>3.665</c:v>
                </c:pt>
                <c:pt idx="1430">
                  <c:v>3.637</c:v>
                </c:pt>
                <c:pt idx="1431">
                  <c:v>3.609</c:v>
                </c:pt>
                <c:pt idx="1432">
                  <c:v>3.5680000000000001</c:v>
                </c:pt>
                <c:pt idx="1433">
                  <c:v>3.6150000000000002</c:v>
                </c:pt>
                <c:pt idx="1434">
                  <c:v>3.5910000000000002</c:v>
                </c:pt>
                <c:pt idx="1435">
                  <c:v>3.548</c:v>
                </c:pt>
                <c:pt idx="1436">
                  <c:v>3.573</c:v>
                </c:pt>
                <c:pt idx="1437">
                  <c:v>3.5030000000000001</c:v>
                </c:pt>
                <c:pt idx="1438">
                  <c:v>3.476</c:v>
                </c:pt>
                <c:pt idx="1439">
                  <c:v>3.4940000000000002</c:v>
                </c:pt>
                <c:pt idx="1440">
                  <c:v>3.5190000000000001</c:v>
                </c:pt>
                <c:pt idx="1441">
                  <c:v>3.59</c:v>
                </c:pt>
                <c:pt idx="1442">
                  <c:v>3.569</c:v>
                </c:pt>
                <c:pt idx="1443">
                  <c:v>3.6</c:v>
                </c:pt>
                <c:pt idx="1444">
                  <c:v>3.4849999999999999</c:v>
                </c:pt>
                <c:pt idx="1445">
                  <c:v>3.51</c:v>
                </c:pt>
                <c:pt idx="1446">
                  <c:v>3.5470000000000002</c:v>
                </c:pt>
                <c:pt idx="1447">
                  <c:v>3.5739999999999998</c:v>
                </c:pt>
                <c:pt idx="1448">
                  <c:v>3.5830000000000002</c:v>
                </c:pt>
                <c:pt idx="1449">
                  <c:v>3.6059999999999999</c:v>
                </c:pt>
                <c:pt idx="1450">
                  <c:v>3.5569999999999999</c:v>
                </c:pt>
                <c:pt idx="1451">
                  <c:v>3.5979999999999999</c:v>
                </c:pt>
                <c:pt idx="1452">
                  <c:v>3.657</c:v>
                </c:pt>
                <c:pt idx="1453">
                  <c:v>3.7770000000000001</c:v>
                </c:pt>
                <c:pt idx="1454">
                  <c:v>3.79</c:v>
                </c:pt>
                <c:pt idx="1455">
                  <c:v>3.8340000000000001</c:v>
                </c:pt>
                <c:pt idx="1456">
                  <c:v>3.82</c:v>
                </c:pt>
                <c:pt idx="1457">
                  <c:v>3.85</c:v>
                </c:pt>
                <c:pt idx="1458">
                  <c:v>3.8370000000000002</c:v>
                </c:pt>
                <c:pt idx="1459">
                  <c:v>3.7970000000000002</c:v>
                </c:pt>
                <c:pt idx="1460">
                  <c:v>3.8490000000000002</c:v>
                </c:pt>
                <c:pt idx="1461">
                  <c:v>3.8860000000000001</c:v>
                </c:pt>
                <c:pt idx="1462">
                  <c:v>3.8540000000000001</c:v>
                </c:pt>
                <c:pt idx="1463">
                  <c:v>3.9670000000000001</c:v>
                </c:pt>
                <c:pt idx="1464">
                  <c:v>3.984</c:v>
                </c:pt>
                <c:pt idx="1465">
                  <c:v>3.9590000000000001</c:v>
                </c:pt>
                <c:pt idx="1466">
                  <c:v>3.9279999999999999</c:v>
                </c:pt>
                <c:pt idx="1467">
                  <c:v>3.9950000000000001</c:v>
                </c:pt>
                <c:pt idx="1468">
                  <c:v>3.9689999999999999</c:v>
                </c:pt>
                <c:pt idx="1469">
                  <c:v>3.9870000000000001</c:v>
                </c:pt>
                <c:pt idx="1470">
                  <c:v>4.0380000000000003</c:v>
                </c:pt>
                <c:pt idx="1471">
                  <c:v>4.0570000000000004</c:v>
                </c:pt>
                <c:pt idx="1472">
                  <c:v>4.0529999999999999</c:v>
                </c:pt>
                <c:pt idx="1473">
                  <c:v>4.077</c:v>
                </c:pt>
                <c:pt idx="1474">
                  <c:v>4.1210000000000004</c:v>
                </c:pt>
                <c:pt idx="1475">
                  <c:v>4.1189999999999998</c:v>
                </c:pt>
                <c:pt idx="1476">
                  <c:v>4.0750000000000002</c:v>
                </c:pt>
                <c:pt idx="1477">
                  <c:v>4.0940000000000003</c:v>
                </c:pt>
                <c:pt idx="1478">
                  <c:v>4.1029999999999998</c:v>
                </c:pt>
                <c:pt idx="1479">
                  <c:v>4.2030000000000003</c:v>
                </c:pt>
                <c:pt idx="1480">
                  <c:v>4.1920000000000002</c:v>
                </c:pt>
                <c:pt idx="1481">
                  <c:v>4.1589999999999998</c:v>
                </c:pt>
                <c:pt idx="1482">
                  <c:v>4.1180000000000003</c:v>
                </c:pt>
                <c:pt idx="1483">
                  <c:v>4.0830000000000002</c:v>
                </c:pt>
                <c:pt idx="1484">
                  <c:v>4.0830000000000002</c:v>
                </c:pt>
                <c:pt idx="1485">
                  <c:v>4.1079999999999997</c:v>
                </c:pt>
                <c:pt idx="1486">
                  <c:v>4.077</c:v>
                </c:pt>
                <c:pt idx="1487">
                  <c:v>4.0449999999999999</c:v>
                </c:pt>
                <c:pt idx="1488">
                  <c:v>4.0060000000000002</c:v>
                </c:pt>
                <c:pt idx="1489">
                  <c:v>3.99</c:v>
                </c:pt>
                <c:pt idx="1490">
                  <c:v>3.9369999999999998</c:v>
                </c:pt>
                <c:pt idx="1491">
                  <c:v>3.9409999999999998</c:v>
                </c:pt>
                <c:pt idx="1492">
                  <c:v>3.9620000000000002</c:v>
                </c:pt>
                <c:pt idx="1493">
                  <c:v>3.9430000000000001</c:v>
                </c:pt>
                <c:pt idx="1494">
                  <c:v>3.8639999999999999</c:v>
                </c:pt>
                <c:pt idx="1495">
                  <c:v>3.8479999999999999</c:v>
                </c:pt>
                <c:pt idx="1496">
                  <c:v>3.847</c:v>
                </c:pt>
                <c:pt idx="1497">
                  <c:v>3.83</c:v>
                </c:pt>
                <c:pt idx="1498">
                  <c:v>3.75</c:v>
                </c:pt>
                <c:pt idx="1499">
                  <c:v>3.77</c:v>
                </c:pt>
                <c:pt idx="1500">
                  <c:v>3.8719999999999999</c:v>
                </c:pt>
                <c:pt idx="1501">
                  <c:v>3.8849999999999998</c:v>
                </c:pt>
                <c:pt idx="1502">
                  <c:v>3.9060000000000001</c:v>
                </c:pt>
                <c:pt idx="1503">
                  <c:v>3.88</c:v>
                </c:pt>
                <c:pt idx="1504">
                  <c:v>3.8519999999999999</c:v>
                </c:pt>
                <c:pt idx="1505">
                  <c:v>3.97</c:v>
                </c:pt>
                <c:pt idx="1506">
                  <c:v>3.9820000000000002</c:v>
                </c:pt>
                <c:pt idx="1507">
                  <c:v>3.9180000000000001</c:v>
                </c:pt>
                <c:pt idx="1508">
                  <c:v>3.9129999999999998</c:v>
                </c:pt>
                <c:pt idx="1509">
                  <c:v>3.859</c:v>
                </c:pt>
                <c:pt idx="1510">
                  <c:v>3.9079999999999999</c:v>
                </c:pt>
                <c:pt idx="1511">
                  <c:v>3.8370000000000002</c:v>
                </c:pt>
                <c:pt idx="1512">
                  <c:v>3.88</c:v>
                </c:pt>
                <c:pt idx="1513">
                  <c:v>3.85</c:v>
                </c:pt>
                <c:pt idx="1514">
                  <c:v>3.92</c:v>
                </c:pt>
                <c:pt idx="1515">
                  <c:v>3.927</c:v>
                </c:pt>
                <c:pt idx="1516">
                  <c:v>3.9</c:v>
                </c:pt>
                <c:pt idx="1517">
                  <c:v>3.8740000000000001</c:v>
                </c:pt>
                <c:pt idx="1518">
                  <c:v>3.9079999999999999</c:v>
                </c:pt>
                <c:pt idx="1519">
                  <c:v>4.016</c:v>
                </c:pt>
                <c:pt idx="1520">
                  <c:v>4.0019999999999998</c:v>
                </c:pt>
                <c:pt idx="1521">
                  <c:v>4.0019999999999998</c:v>
                </c:pt>
                <c:pt idx="1522">
                  <c:v>3.9169999999999998</c:v>
                </c:pt>
                <c:pt idx="1523">
                  <c:v>3.931</c:v>
                </c:pt>
                <c:pt idx="1524">
                  <c:v>3.903</c:v>
                </c:pt>
                <c:pt idx="1525">
                  <c:v>3.871</c:v>
                </c:pt>
                <c:pt idx="1526">
                  <c:v>3.9159999999999999</c:v>
                </c:pt>
                <c:pt idx="1527">
                  <c:v>3.9129999999999998</c:v>
                </c:pt>
                <c:pt idx="1528">
                  <c:v>3.9</c:v>
                </c:pt>
                <c:pt idx="1529">
                  <c:v>3.8479999999999999</c:v>
                </c:pt>
                <c:pt idx="1530">
                  <c:v>3.7850000000000001</c:v>
                </c:pt>
                <c:pt idx="1531">
                  <c:v>3.7890000000000001</c:v>
                </c:pt>
                <c:pt idx="1532">
                  <c:v>3.8039999999999998</c:v>
                </c:pt>
                <c:pt idx="1533">
                  <c:v>3.738</c:v>
                </c:pt>
                <c:pt idx="1534">
                  <c:v>3.76</c:v>
                </c:pt>
                <c:pt idx="1535">
                  <c:v>3.7360000000000002</c:v>
                </c:pt>
                <c:pt idx="1536">
                  <c:v>3.7269999999999999</c:v>
                </c:pt>
                <c:pt idx="1537">
                  <c:v>3.77</c:v>
                </c:pt>
                <c:pt idx="1538">
                  <c:v>3.8069999999999999</c:v>
                </c:pt>
                <c:pt idx="1539">
                  <c:v>3.7959999999999998</c:v>
                </c:pt>
                <c:pt idx="1540">
                  <c:v>3.8490000000000002</c:v>
                </c:pt>
                <c:pt idx="1541">
                  <c:v>3.847</c:v>
                </c:pt>
                <c:pt idx="1542">
                  <c:v>3.8239999999999998</c:v>
                </c:pt>
                <c:pt idx="1543">
                  <c:v>3.8639999999999999</c:v>
                </c:pt>
                <c:pt idx="1544">
                  <c:v>3.9140000000000001</c:v>
                </c:pt>
                <c:pt idx="1545">
                  <c:v>3.92</c:v>
                </c:pt>
                <c:pt idx="1546">
                  <c:v>3.927</c:v>
                </c:pt>
                <c:pt idx="1547">
                  <c:v>3.907</c:v>
                </c:pt>
                <c:pt idx="1548">
                  <c:v>3.8420000000000001</c:v>
                </c:pt>
                <c:pt idx="1549">
                  <c:v>3.8050000000000002</c:v>
                </c:pt>
                <c:pt idx="1550">
                  <c:v>3.79</c:v>
                </c:pt>
                <c:pt idx="1551">
                  <c:v>3.7810000000000001</c:v>
                </c:pt>
                <c:pt idx="1552">
                  <c:v>3.738</c:v>
                </c:pt>
                <c:pt idx="1553">
                  <c:v>3.7669999999999999</c:v>
                </c:pt>
                <c:pt idx="1554">
                  <c:v>3.7130000000000001</c:v>
                </c:pt>
                <c:pt idx="1555">
                  <c:v>3.758</c:v>
                </c:pt>
                <c:pt idx="1556">
                  <c:v>3.8370000000000002</c:v>
                </c:pt>
                <c:pt idx="1557">
                  <c:v>3.77</c:v>
                </c:pt>
                <c:pt idx="1558">
                  <c:v>3.8090000000000002</c:v>
                </c:pt>
                <c:pt idx="1559">
                  <c:v>3.7410000000000001</c:v>
                </c:pt>
                <c:pt idx="1560">
                  <c:v>3.76</c:v>
                </c:pt>
                <c:pt idx="1561">
                  <c:v>3.7559999999999998</c:v>
                </c:pt>
                <c:pt idx="1562">
                  <c:v>3.7519999999999998</c:v>
                </c:pt>
                <c:pt idx="1563">
                  <c:v>3.75</c:v>
                </c:pt>
                <c:pt idx="1564">
                  <c:v>3.7589999999999999</c:v>
                </c:pt>
                <c:pt idx="1565">
                  <c:v>3.78</c:v>
                </c:pt>
                <c:pt idx="1566">
                  <c:v>3.73</c:v>
                </c:pt>
                <c:pt idx="1567">
                  <c:v>3.7389999999999999</c:v>
                </c:pt>
                <c:pt idx="1568">
                  <c:v>3.7280000000000002</c:v>
                </c:pt>
                <c:pt idx="1569">
                  <c:v>3.7309999999999999</c:v>
                </c:pt>
                <c:pt idx="1570">
                  <c:v>3.774</c:v>
                </c:pt>
                <c:pt idx="1571">
                  <c:v>3.7730000000000001</c:v>
                </c:pt>
                <c:pt idx="1572">
                  <c:v>3.7360000000000002</c:v>
                </c:pt>
                <c:pt idx="1573">
                  <c:v>3.6779999999999999</c:v>
                </c:pt>
                <c:pt idx="1574">
                  <c:v>3.67</c:v>
                </c:pt>
                <c:pt idx="1575">
                  <c:v>3.6930000000000001</c:v>
                </c:pt>
                <c:pt idx="1576">
                  <c:v>3.5329999999999999</c:v>
                </c:pt>
                <c:pt idx="1577">
                  <c:v>3.4009999999999998</c:v>
                </c:pt>
                <c:pt idx="1578">
                  <c:v>3.2570000000000001</c:v>
                </c:pt>
                <c:pt idx="1579">
                  <c:v>3.3170000000000002</c:v>
                </c:pt>
                <c:pt idx="1580">
                  <c:v>3.222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BA-4C71-B8EA-47A104C6F2A6}"/>
            </c:ext>
          </c:extLst>
        </c:ser>
        <c:ser>
          <c:idx val="1"/>
          <c:order val="1"/>
          <c:tx>
            <c:v>3 Year Bond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'Risk Free Rate'!$A$10:$A$1590</c:f>
              <c:strCache>
                <c:ptCount val="1581"/>
                <c:pt idx="0">
                  <c:v>02-Jan-2019</c:v>
                </c:pt>
                <c:pt idx="1">
                  <c:v>03-Jan-2019</c:v>
                </c:pt>
                <c:pt idx="2">
                  <c:v>04-Jan-2019</c:v>
                </c:pt>
                <c:pt idx="3">
                  <c:v>07-Jan-2019</c:v>
                </c:pt>
                <c:pt idx="4">
                  <c:v>08-Jan-2019</c:v>
                </c:pt>
                <c:pt idx="5">
                  <c:v>09-Jan-2019</c:v>
                </c:pt>
                <c:pt idx="6">
                  <c:v>10-Jan-2019</c:v>
                </c:pt>
                <c:pt idx="7">
                  <c:v>2019-01-11</c:v>
                </c:pt>
                <c:pt idx="8">
                  <c:v>14-Jan-2019</c:v>
                </c:pt>
                <c:pt idx="9">
                  <c:v>15-Jan-2019</c:v>
                </c:pt>
                <c:pt idx="10">
                  <c:v>16-Jan-2019</c:v>
                </c:pt>
                <c:pt idx="11">
                  <c:v>17-Jan-2019</c:v>
                </c:pt>
                <c:pt idx="12">
                  <c:v>18-Jan-2019</c:v>
                </c:pt>
                <c:pt idx="13">
                  <c:v>21-Jan-2019</c:v>
                </c:pt>
                <c:pt idx="14">
                  <c:v>22-Jan-2019</c:v>
                </c:pt>
                <c:pt idx="15">
                  <c:v>23-Jan-2019</c:v>
                </c:pt>
                <c:pt idx="16">
                  <c:v>24-Jan-2019</c:v>
                </c:pt>
                <c:pt idx="17">
                  <c:v>25-Jan-2019</c:v>
                </c:pt>
                <c:pt idx="18">
                  <c:v>29-Jan-2019</c:v>
                </c:pt>
                <c:pt idx="19">
                  <c:v>30-Jan-2019</c:v>
                </c:pt>
                <c:pt idx="20">
                  <c:v>31-Jan-2019</c:v>
                </c:pt>
                <c:pt idx="21">
                  <c:v>01-Feb-2019</c:v>
                </c:pt>
                <c:pt idx="22">
                  <c:v>04-Feb-2019</c:v>
                </c:pt>
                <c:pt idx="23">
                  <c:v>05-Feb-2019</c:v>
                </c:pt>
                <c:pt idx="24">
                  <c:v>06-Feb-2019</c:v>
                </c:pt>
                <c:pt idx="25">
                  <c:v>07-Feb-2019</c:v>
                </c:pt>
                <c:pt idx="26">
                  <c:v>08-Feb-2019</c:v>
                </c:pt>
                <c:pt idx="27">
                  <c:v>11-Feb-2019</c:v>
                </c:pt>
                <c:pt idx="28">
                  <c:v>12-Feb-2019</c:v>
                </c:pt>
                <c:pt idx="29">
                  <c:v>13-Feb-2019</c:v>
                </c:pt>
                <c:pt idx="30">
                  <c:v>14-Feb-2019</c:v>
                </c:pt>
                <c:pt idx="31">
                  <c:v>15-Feb-2019</c:v>
                </c:pt>
                <c:pt idx="32">
                  <c:v>18-Feb-2019</c:v>
                </c:pt>
                <c:pt idx="33">
                  <c:v>19-Feb-2019</c:v>
                </c:pt>
                <c:pt idx="34">
                  <c:v>20-Feb-2019</c:v>
                </c:pt>
                <c:pt idx="35">
                  <c:v>21-Feb-2019</c:v>
                </c:pt>
                <c:pt idx="36">
                  <c:v>22-Feb-2019</c:v>
                </c:pt>
                <c:pt idx="37">
                  <c:v>25-Feb-2019</c:v>
                </c:pt>
                <c:pt idx="38">
                  <c:v>26-Feb-2019</c:v>
                </c:pt>
                <c:pt idx="39">
                  <c:v>27-Feb-2019</c:v>
                </c:pt>
                <c:pt idx="40">
                  <c:v>28-Feb-2019</c:v>
                </c:pt>
                <c:pt idx="41">
                  <c:v>01-Mar-2019</c:v>
                </c:pt>
                <c:pt idx="42">
                  <c:v>04-Mar-2019</c:v>
                </c:pt>
                <c:pt idx="43">
                  <c:v>05-Mar-2019</c:v>
                </c:pt>
                <c:pt idx="44">
                  <c:v>06-Mar-2019</c:v>
                </c:pt>
                <c:pt idx="45">
                  <c:v>07-Mar-2019</c:v>
                </c:pt>
                <c:pt idx="46">
                  <c:v>08-Mar-2019</c:v>
                </c:pt>
                <c:pt idx="47">
                  <c:v>11-Mar-2019</c:v>
                </c:pt>
                <c:pt idx="48">
                  <c:v>12-Mar-2019</c:v>
                </c:pt>
                <c:pt idx="49">
                  <c:v>13-Mar-2019</c:v>
                </c:pt>
                <c:pt idx="50">
                  <c:v>14-Mar-2019</c:v>
                </c:pt>
                <c:pt idx="51">
                  <c:v>15-Mar-2019</c:v>
                </c:pt>
                <c:pt idx="52">
                  <c:v>18-Mar-2019</c:v>
                </c:pt>
                <c:pt idx="53">
                  <c:v>19-Mar-2019</c:v>
                </c:pt>
                <c:pt idx="54">
                  <c:v>20-Mar-2019</c:v>
                </c:pt>
                <c:pt idx="55">
                  <c:v>21-Mar-2019</c:v>
                </c:pt>
                <c:pt idx="56">
                  <c:v>22-Mar-2019</c:v>
                </c:pt>
                <c:pt idx="57">
                  <c:v>25-Mar-2019</c:v>
                </c:pt>
                <c:pt idx="58">
                  <c:v>26-Mar-2019</c:v>
                </c:pt>
                <c:pt idx="59">
                  <c:v>27-Mar-2019</c:v>
                </c:pt>
                <c:pt idx="60">
                  <c:v>28-Mar-2019</c:v>
                </c:pt>
                <c:pt idx="61">
                  <c:v>29-Mar-2019</c:v>
                </c:pt>
                <c:pt idx="62">
                  <c:v>01-Apr-2019</c:v>
                </c:pt>
                <c:pt idx="63">
                  <c:v>02-Apr-2019</c:v>
                </c:pt>
                <c:pt idx="64">
                  <c:v>03-Apr-2019</c:v>
                </c:pt>
                <c:pt idx="65">
                  <c:v>04-Apr-2019</c:v>
                </c:pt>
                <c:pt idx="66">
                  <c:v>05-Apr-2019</c:v>
                </c:pt>
                <c:pt idx="67">
                  <c:v>08-Apr-2019</c:v>
                </c:pt>
                <c:pt idx="68">
                  <c:v>09-Apr-2019</c:v>
                </c:pt>
                <c:pt idx="69">
                  <c:v>10-Apr-2019</c:v>
                </c:pt>
                <c:pt idx="70">
                  <c:v>11-Apr-2019</c:v>
                </c:pt>
                <c:pt idx="71">
                  <c:v>12-Apr-2019</c:v>
                </c:pt>
                <c:pt idx="72">
                  <c:v>15-Apr-2019</c:v>
                </c:pt>
                <c:pt idx="73">
                  <c:v>16-Apr-2019</c:v>
                </c:pt>
                <c:pt idx="74">
                  <c:v>17-Apr-2019</c:v>
                </c:pt>
                <c:pt idx="75">
                  <c:v>18-Apr-2019</c:v>
                </c:pt>
                <c:pt idx="76">
                  <c:v>23-Apr-2019</c:v>
                </c:pt>
                <c:pt idx="77">
                  <c:v>24-Apr-2019</c:v>
                </c:pt>
                <c:pt idx="78">
                  <c:v>26-Apr-2019</c:v>
                </c:pt>
                <c:pt idx="79">
                  <c:v>29-Apr-2019</c:v>
                </c:pt>
                <c:pt idx="80">
                  <c:v>30-Apr-2019</c:v>
                </c:pt>
                <c:pt idx="81">
                  <c:v>01-May-2019</c:v>
                </c:pt>
                <c:pt idx="82">
                  <c:v>02-May-2019</c:v>
                </c:pt>
                <c:pt idx="83">
                  <c:v>03-May-2019</c:v>
                </c:pt>
                <c:pt idx="84">
                  <c:v>06-May-2019</c:v>
                </c:pt>
                <c:pt idx="85">
                  <c:v>07-May-2019</c:v>
                </c:pt>
                <c:pt idx="86">
                  <c:v>08-May-2019</c:v>
                </c:pt>
                <c:pt idx="87">
                  <c:v>09-May-2019</c:v>
                </c:pt>
                <c:pt idx="88">
                  <c:v>10-May-2019</c:v>
                </c:pt>
                <c:pt idx="89">
                  <c:v>13-May-2019</c:v>
                </c:pt>
                <c:pt idx="90">
                  <c:v>14-May-2019</c:v>
                </c:pt>
                <c:pt idx="91">
                  <c:v>15-May-2019</c:v>
                </c:pt>
                <c:pt idx="92">
                  <c:v>16-May-2019</c:v>
                </c:pt>
                <c:pt idx="93">
                  <c:v>17-May-2019</c:v>
                </c:pt>
                <c:pt idx="94">
                  <c:v>20-May-2019</c:v>
                </c:pt>
                <c:pt idx="95">
                  <c:v>21-May-2019</c:v>
                </c:pt>
                <c:pt idx="96">
                  <c:v>22-May-2019</c:v>
                </c:pt>
                <c:pt idx="97">
                  <c:v>23-May-2019</c:v>
                </c:pt>
                <c:pt idx="98">
                  <c:v>24-May-2019</c:v>
                </c:pt>
                <c:pt idx="99">
                  <c:v>27-May-2019</c:v>
                </c:pt>
                <c:pt idx="100">
                  <c:v>28-May-2019</c:v>
                </c:pt>
                <c:pt idx="101">
                  <c:v>29-May-2019</c:v>
                </c:pt>
                <c:pt idx="102">
                  <c:v>30-May-2019</c:v>
                </c:pt>
                <c:pt idx="103">
                  <c:v>31-May-2019</c:v>
                </c:pt>
                <c:pt idx="104">
                  <c:v>03-Jun-2019</c:v>
                </c:pt>
                <c:pt idx="105">
                  <c:v>04-Jun-2019</c:v>
                </c:pt>
                <c:pt idx="106">
                  <c:v>05-Jun-2019</c:v>
                </c:pt>
                <c:pt idx="107">
                  <c:v>06-Jun-2019</c:v>
                </c:pt>
                <c:pt idx="108">
                  <c:v>07-Jun-2019</c:v>
                </c:pt>
                <c:pt idx="109">
                  <c:v>11-Jun-2019</c:v>
                </c:pt>
                <c:pt idx="110">
                  <c:v>12-Jun-2019</c:v>
                </c:pt>
                <c:pt idx="111">
                  <c:v>13-Jun-2019</c:v>
                </c:pt>
                <c:pt idx="112">
                  <c:v>14-Jun-2019</c:v>
                </c:pt>
                <c:pt idx="113">
                  <c:v>17-Jun-2019</c:v>
                </c:pt>
                <c:pt idx="114">
                  <c:v>18-Jun-2019</c:v>
                </c:pt>
                <c:pt idx="115">
                  <c:v>19-Jun-2019</c:v>
                </c:pt>
                <c:pt idx="116">
                  <c:v>20-Jun-2019</c:v>
                </c:pt>
                <c:pt idx="117">
                  <c:v>21-Jun-2019</c:v>
                </c:pt>
                <c:pt idx="118">
                  <c:v>24-Jun-2019</c:v>
                </c:pt>
                <c:pt idx="119">
                  <c:v>25-Jun-2019</c:v>
                </c:pt>
                <c:pt idx="120">
                  <c:v>26-Jun-2019</c:v>
                </c:pt>
                <c:pt idx="121">
                  <c:v>27-Jun-2019</c:v>
                </c:pt>
                <c:pt idx="122">
                  <c:v>28-Jun-2019</c:v>
                </c:pt>
                <c:pt idx="123">
                  <c:v>01-Jul-2019</c:v>
                </c:pt>
                <c:pt idx="124">
                  <c:v>02-Jul-2019</c:v>
                </c:pt>
                <c:pt idx="125">
                  <c:v>03-Jul-2019</c:v>
                </c:pt>
                <c:pt idx="126">
                  <c:v>04-Jul-2019</c:v>
                </c:pt>
                <c:pt idx="127">
                  <c:v>05-Jul-2019</c:v>
                </c:pt>
                <c:pt idx="128">
                  <c:v>08-Jul-2019</c:v>
                </c:pt>
                <c:pt idx="129">
                  <c:v>09-Jul-2019</c:v>
                </c:pt>
                <c:pt idx="130">
                  <c:v>10-Jul-2019</c:v>
                </c:pt>
                <c:pt idx="131">
                  <c:v>11-Jul-2019</c:v>
                </c:pt>
                <c:pt idx="132">
                  <c:v>12-Jul-2019</c:v>
                </c:pt>
                <c:pt idx="133">
                  <c:v>15-Jul-2019</c:v>
                </c:pt>
                <c:pt idx="134">
                  <c:v>16-Jul-2019</c:v>
                </c:pt>
                <c:pt idx="135">
                  <c:v>17-Jul-2019</c:v>
                </c:pt>
                <c:pt idx="136">
                  <c:v>18-Jul-2019</c:v>
                </c:pt>
                <c:pt idx="137">
                  <c:v>19-Jul-2019</c:v>
                </c:pt>
                <c:pt idx="138">
                  <c:v>22-Jul-2019</c:v>
                </c:pt>
                <c:pt idx="139">
                  <c:v>23-Jul-2019</c:v>
                </c:pt>
                <c:pt idx="140">
                  <c:v>24-Jul-2019</c:v>
                </c:pt>
                <c:pt idx="141">
                  <c:v>25-Jul-2019</c:v>
                </c:pt>
                <c:pt idx="142">
                  <c:v>26-Jul-2019</c:v>
                </c:pt>
                <c:pt idx="143">
                  <c:v>29-Jul-2019</c:v>
                </c:pt>
                <c:pt idx="144">
                  <c:v>30-Jul-2019</c:v>
                </c:pt>
                <c:pt idx="145">
                  <c:v>31-Jul-2019</c:v>
                </c:pt>
                <c:pt idx="146">
                  <c:v>01-Aug-2019</c:v>
                </c:pt>
                <c:pt idx="147">
                  <c:v>02-Aug-2019</c:v>
                </c:pt>
                <c:pt idx="148">
                  <c:v>05-Aug-2019</c:v>
                </c:pt>
                <c:pt idx="149">
                  <c:v>06-Aug-2019</c:v>
                </c:pt>
                <c:pt idx="150">
                  <c:v>07-Aug-2019</c:v>
                </c:pt>
                <c:pt idx="151">
                  <c:v>08-Aug-2019</c:v>
                </c:pt>
                <c:pt idx="152">
                  <c:v>09-Aug-2019</c:v>
                </c:pt>
                <c:pt idx="153">
                  <c:v>12-Aug-2019</c:v>
                </c:pt>
                <c:pt idx="154">
                  <c:v>13-Aug-2019</c:v>
                </c:pt>
                <c:pt idx="155">
                  <c:v>14-Aug-2019</c:v>
                </c:pt>
                <c:pt idx="156">
                  <c:v>15-Aug-2019</c:v>
                </c:pt>
                <c:pt idx="157">
                  <c:v>16-Aug-2019</c:v>
                </c:pt>
                <c:pt idx="158">
                  <c:v>19-Aug-2019</c:v>
                </c:pt>
                <c:pt idx="159">
                  <c:v>20-Aug-2019</c:v>
                </c:pt>
                <c:pt idx="160">
                  <c:v>21-Aug-2019</c:v>
                </c:pt>
                <c:pt idx="161">
                  <c:v>22-Aug-2019</c:v>
                </c:pt>
                <c:pt idx="162">
                  <c:v>23-Aug-2019</c:v>
                </c:pt>
                <c:pt idx="163">
                  <c:v>26-Aug-2019</c:v>
                </c:pt>
                <c:pt idx="164">
                  <c:v>27-Aug-2019</c:v>
                </c:pt>
                <c:pt idx="165">
                  <c:v>28-Aug-2019</c:v>
                </c:pt>
                <c:pt idx="166">
                  <c:v>29-Aug-2019</c:v>
                </c:pt>
                <c:pt idx="167">
                  <c:v>30-Aug-2019</c:v>
                </c:pt>
                <c:pt idx="168">
                  <c:v>02-Sep-2019</c:v>
                </c:pt>
                <c:pt idx="169">
                  <c:v>03-Sep-2019</c:v>
                </c:pt>
                <c:pt idx="170">
                  <c:v>04-Sep-2019</c:v>
                </c:pt>
                <c:pt idx="171">
                  <c:v>05-Sep-2019</c:v>
                </c:pt>
                <c:pt idx="172">
                  <c:v>06-Sep-2019</c:v>
                </c:pt>
                <c:pt idx="173">
                  <c:v>09-Sep-2019</c:v>
                </c:pt>
                <c:pt idx="174">
                  <c:v>10-Sep-2019</c:v>
                </c:pt>
                <c:pt idx="175">
                  <c:v>11-Sep-2019</c:v>
                </c:pt>
                <c:pt idx="176">
                  <c:v>12-Sep-2019</c:v>
                </c:pt>
                <c:pt idx="177">
                  <c:v>13-Sep-2019</c:v>
                </c:pt>
                <c:pt idx="178">
                  <c:v>16-Sep-2019</c:v>
                </c:pt>
                <c:pt idx="179">
                  <c:v>17-Sep-2019</c:v>
                </c:pt>
                <c:pt idx="180">
                  <c:v>18-Sep-2019</c:v>
                </c:pt>
                <c:pt idx="181">
                  <c:v>19-Sep-2019</c:v>
                </c:pt>
                <c:pt idx="182">
                  <c:v>20-Sep-2019</c:v>
                </c:pt>
                <c:pt idx="183">
                  <c:v>23-Sep-2019</c:v>
                </c:pt>
                <c:pt idx="184">
                  <c:v>24-Sep-2019</c:v>
                </c:pt>
                <c:pt idx="185">
                  <c:v>25-Sep-2019</c:v>
                </c:pt>
                <c:pt idx="186">
                  <c:v>26-Sep-2019</c:v>
                </c:pt>
                <c:pt idx="187">
                  <c:v>27-Sep-2019</c:v>
                </c:pt>
                <c:pt idx="188">
                  <c:v>30-Sep-2019</c:v>
                </c:pt>
                <c:pt idx="189">
                  <c:v>01-Oct-2019</c:v>
                </c:pt>
                <c:pt idx="190">
                  <c:v>02-Oct-2019</c:v>
                </c:pt>
                <c:pt idx="191">
                  <c:v>03-Oct-2019</c:v>
                </c:pt>
                <c:pt idx="192">
                  <c:v>04-Oct-2019</c:v>
                </c:pt>
                <c:pt idx="193">
                  <c:v>08-Oct-2019</c:v>
                </c:pt>
                <c:pt idx="194">
                  <c:v>09-Oct-2019</c:v>
                </c:pt>
                <c:pt idx="195">
                  <c:v>10-Oct-2019</c:v>
                </c:pt>
                <c:pt idx="196">
                  <c:v>11-Oct-2019</c:v>
                </c:pt>
                <c:pt idx="197">
                  <c:v>14-Oct-2019</c:v>
                </c:pt>
                <c:pt idx="198">
                  <c:v>15-Oct-2019</c:v>
                </c:pt>
                <c:pt idx="199">
                  <c:v>16-Oct-2019</c:v>
                </c:pt>
                <c:pt idx="200">
                  <c:v>17-Oct-2019</c:v>
                </c:pt>
                <c:pt idx="201">
                  <c:v>18-Oct-2019</c:v>
                </c:pt>
                <c:pt idx="202">
                  <c:v>21-Oct-2019</c:v>
                </c:pt>
                <c:pt idx="203">
                  <c:v>22-Oct-2019</c:v>
                </c:pt>
                <c:pt idx="204">
                  <c:v>23-Oct-2019</c:v>
                </c:pt>
                <c:pt idx="205">
                  <c:v>24-Oct-2019</c:v>
                </c:pt>
                <c:pt idx="206">
                  <c:v>25-Oct-2019</c:v>
                </c:pt>
                <c:pt idx="207">
                  <c:v>28-Oct-2019</c:v>
                </c:pt>
                <c:pt idx="208">
                  <c:v>29-Oct-2019</c:v>
                </c:pt>
                <c:pt idx="209">
                  <c:v>30-Oct-2019</c:v>
                </c:pt>
                <c:pt idx="210">
                  <c:v>31-Oct-2019</c:v>
                </c:pt>
                <c:pt idx="211">
                  <c:v>01-Nov-2019</c:v>
                </c:pt>
                <c:pt idx="212">
                  <c:v>04-Nov-2019</c:v>
                </c:pt>
                <c:pt idx="213">
                  <c:v>05-Nov-2019</c:v>
                </c:pt>
                <c:pt idx="214">
                  <c:v>06-Nov-2019</c:v>
                </c:pt>
                <c:pt idx="215">
                  <c:v>07-Nov-2019</c:v>
                </c:pt>
                <c:pt idx="216">
                  <c:v>08-Nov-2019</c:v>
                </c:pt>
                <c:pt idx="217">
                  <c:v>11-Nov-2019</c:v>
                </c:pt>
                <c:pt idx="218">
                  <c:v>12-Nov-2019</c:v>
                </c:pt>
                <c:pt idx="219">
                  <c:v>13-Nov-2019</c:v>
                </c:pt>
                <c:pt idx="220">
                  <c:v>14-Nov-2019</c:v>
                </c:pt>
                <c:pt idx="221">
                  <c:v>15-Nov-2019</c:v>
                </c:pt>
                <c:pt idx="222">
                  <c:v>18-Nov-2019</c:v>
                </c:pt>
                <c:pt idx="223">
                  <c:v>19-Nov-2019</c:v>
                </c:pt>
                <c:pt idx="224">
                  <c:v>20-Nov-2019</c:v>
                </c:pt>
                <c:pt idx="225">
                  <c:v>21-Nov-2019</c:v>
                </c:pt>
                <c:pt idx="226">
                  <c:v>22-Nov-2019</c:v>
                </c:pt>
                <c:pt idx="227">
                  <c:v>25-Nov-2019</c:v>
                </c:pt>
                <c:pt idx="228">
                  <c:v>26-Nov-2019</c:v>
                </c:pt>
                <c:pt idx="229">
                  <c:v>27-Nov-2019</c:v>
                </c:pt>
                <c:pt idx="230">
                  <c:v>28-Nov-2019</c:v>
                </c:pt>
                <c:pt idx="231">
                  <c:v>29-Nov-2019</c:v>
                </c:pt>
                <c:pt idx="232">
                  <c:v>02-Dec-2019</c:v>
                </c:pt>
                <c:pt idx="233">
                  <c:v>03-Dec-2019</c:v>
                </c:pt>
                <c:pt idx="234">
                  <c:v>04-Dec-2019</c:v>
                </c:pt>
                <c:pt idx="235">
                  <c:v>05-Dec-2019</c:v>
                </c:pt>
                <c:pt idx="236">
                  <c:v>06-Dec-2019</c:v>
                </c:pt>
                <c:pt idx="237">
                  <c:v>09-Dec-2019</c:v>
                </c:pt>
                <c:pt idx="238">
                  <c:v>10-Dec-2019</c:v>
                </c:pt>
                <c:pt idx="239">
                  <c:v>11-Dec-2019</c:v>
                </c:pt>
                <c:pt idx="240">
                  <c:v>12-Dec-2019</c:v>
                </c:pt>
                <c:pt idx="241">
                  <c:v>13-Dec-2019</c:v>
                </c:pt>
                <c:pt idx="242">
                  <c:v>16-Dec-2019</c:v>
                </c:pt>
                <c:pt idx="243">
                  <c:v>17-Dec-2019</c:v>
                </c:pt>
                <c:pt idx="244">
                  <c:v>18-Dec-2019</c:v>
                </c:pt>
                <c:pt idx="245">
                  <c:v>19-Dec-2019</c:v>
                </c:pt>
                <c:pt idx="246">
                  <c:v>20-Dec-2019</c:v>
                </c:pt>
                <c:pt idx="247">
                  <c:v>23-Dec-2019</c:v>
                </c:pt>
                <c:pt idx="248">
                  <c:v>24-Dec-2019</c:v>
                </c:pt>
                <c:pt idx="249">
                  <c:v>27-Dec-2019</c:v>
                </c:pt>
                <c:pt idx="250">
                  <c:v>30-Dec-2019</c:v>
                </c:pt>
                <c:pt idx="251">
                  <c:v>31-Dec-2019</c:v>
                </c:pt>
                <c:pt idx="252">
                  <c:v>02-Jan-2020</c:v>
                </c:pt>
                <c:pt idx="253">
                  <c:v>03-Jan-2020</c:v>
                </c:pt>
                <c:pt idx="254">
                  <c:v>06-Jan-2020</c:v>
                </c:pt>
                <c:pt idx="255">
                  <c:v>07-Jan-2020</c:v>
                </c:pt>
                <c:pt idx="256">
                  <c:v>08-Jan-2020</c:v>
                </c:pt>
                <c:pt idx="257">
                  <c:v>09-Jan-2020</c:v>
                </c:pt>
                <c:pt idx="258">
                  <c:v>10-Jan-2020</c:v>
                </c:pt>
                <c:pt idx="259">
                  <c:v>13-Jan-2020</c:v>
                </c:pt>
                <c:pt idx="260">
                  <c:v>14-Jan-2020</c:v>
                </c:pt>
                <c:pt idx="261">
                  <c:v>15-Jan-2020</c:v>
                </c:pt>
                <c:pt idx="262">
                  <c:v>16-Jan-2020</c:v>
                </c:pt>
                <c:pt idx="263">
                  <c:v>17-Jan-2020</c:v>
                </c:pt>
                <c:pt idx="264">
                  <c:v>20-Jan-2020</c:v>
                </c:pt>
                <c:pt idx="265">
                  <c:v>21-Jan-2020</c:v>
                </c:pt>
                <c:pt idx="266">
                  <c:v>22-Jan-2020</c:v>
                </c:pt>
                <c:pt idx="267">
                  <c:v>23-Jan-2020</c:v>
                </c:pt>
                <c:pt idx="268">
                  <c:v>24-Jan-2020</c:v>
                </c:pt>
                <c:pt idx="269">
                  <c:v>28-Jan-2020</c:v>
                </c:pt>
                <c:pt idx="270">
                  <c:v>29-Jan-2020</c:v>
                </c:pt>
                <c:pt idx="271">
                  <c:v>30-Jan-2020</c:v>
                </c:pt>
                <c:pt idx="272">
                  <c:v>31-Jan-2020</c:v>
                </c:pt>
                <c:pt idx="273">
                  <c:v>03-Feb-2020</c:v>
                </c:pt>
                <c:pt idx="274">
                  <c:v>04-Feb-2020</c:v>
                </c:pt>
                <c:pt idx="275">
                  <c:v>05-Feb-2020</c:v>
                </c:pt>
                <c:pt idx="276">
                  <c:v>06-Feb-2020</c:v>
                </c:pt>
                <c:pt idx="277">
                  <c:v>07-Feb-2020</c:v>
                </c:pt>
                <c:pt idx="278">
                  <c:v>10-Feb-2020</c:v>
                </c:pt>
                <c:pt idx="279">
                  <c:v>11-Feb-2020</c:v>
                </c:pt>
                <c:pt idx="280">
                  <c:v>12-Feb-2020</c:v>
                </c:pt>
                <c:pt idx="281">
                  <c:v>13-Feb-2020</c:v>
                </c:pt>
                <c:pt idx="282">
                  <c:v>14-Feb-2020</c:v>
                </c:pt>
                <c:pt idx="283">
                  <c:v>17-Feb-2020</c:v>
                </c:pt>
                <c:pt idx="284">
                  <c:v>18-Feb-2020</c:v>
                </c:pt>
                <c:pt idx="285">
                  <c:v>19-Feb-2020</c:v>
                </c:pt>
                <c:pt idx="286">
                  <c:v>20-Feb-2020</c:v>
                </c:pt>
                <c:pt idx="287">
                  <c:v>21-Feb-2020</c:v>
                </c:pt>
                <c:pt idx="288">
                  <c:v>24-Feb-2020</c:v>
                </c:pt>
                <c:pt idx="289">
                  <c:v>25-Feb-2020</c:v>
                </c:pt>
                <c:pt idx="290">
                  <c:v>26-Feb-2020</c:v>
                </c:pt>
                <c:pt idx="291">
                  <c:v>27-Feb-2020</c:v>
                </c:pt>
                <c:pt idx="292">
                  <c:v>28-Feb-2020</c:v>
                </c:pt>
                <c:pt idx="293">
                  <c:v>02-Mar-2020</c:v>
                </c:pt>
                <c:pt idx="294">
                  <c:v>03-Mar-2020</c:v>
                </c:pt>
                <c:pt idx="295">
                  <c:v>04-Mar-2020</c:v>
                </c:pt>
                <c:pt idx="296">
                  <c:v>05-Mar-2020</c:v>
                </c:pt>
                <c:pt idx="297">
                  <c:v>06-Mar-2020</c:v>
                </c:pt>
                <c:pt idx="298">
                  <c:v>09-Mar-2020</c:v>
                </c:pt>
                <c:pt idx="299">
                  <c:v>10-Mar-2020</c:v>
                </c:pt>
                <c:pt idx="300">
                  <c:v>11-Mar-2020</c:v>
                </c:pt>
                <c:pt idx="301">
                  <c:v>12-Mar-2020</c:v>
                </c:pt>
                <c:pt idx="302">
                  <c:v>13-Mar-2020</c:v>
                </c:pt>
                <c:pt idx="303">
                  <c:v>16-Mar-2020</c:v>
                </c:pt>
                <c:pt idx="304">
                  <c:v>17-Mar-2020</c:v>
                </c:pt>
                <c:pt idx="305">
                  <c:v>18-Mar-2020</c:v>
                </c:pt>
                <c:pt idx="306">
                  <c:v>19-Mar-2020</c:v>
                </c:pt>
                <c:pt idx="307">
                  <c:v>20-Mar-2020</c:v>
                </c:pt>
                <c:pt idx="308">
                  <c:v>23-Mar-2020</c:v>
                </c:pt>
                <c:pt idx="309">
                  <c:v>24-Mar-2020</c:v>
                </c:pt>
                <c:pt idx="310">
                  <c:v>25-Mar-2020</c:v>
                </c:pt>
                <c:pt idx="311">
                  <c:v>26-Mar-2020</c:v>
                </c:pt>
                <c:pt idx="312">
                  <c:v>27-Mar-2020</c:v>
                </c:pt>
                <c:pt idx="313">
                  <c:v>30-Mar-2020</c:v>
                </c:pt>
                <c:pt idx="314">
                  <c:v>31-Mar-2020</c:v>
                </c:pt>
                <c:pt idx="315">
                  <c:v>01-Apr-2020</c:v>
                </c:pt>
                <c:pt idx="316">
                  <c:v>02-Apr-2020</c:v>
                </c:pt>
                <c:pt idx="317">
                  <c:v>03-Apr-2020</c:v>
                </c:pt>
                <c:pt idx="318">
                  <c:v>06-Apr-2020</c:v>
                </c:pt>
                <c:pt idx="319">
                  <c:v>07-Apr-2020</c:v>
                </c:pt>
                <c:pt idx="320">
                  <c:v>08-Apr-2020</c:v>
                </c:pt>
                <c:pt idx="321">
                  <c:v>09-Apr-2020</c:v>
                </c:pt>
                <c:pt idx="322">
                  <c:v>14-Apr-2020</c:v>
                </c:pt>
                <c:pt idx="323">
                  <c:v>15-Apr-2020</c:v>
                </c:pt>
                <c:pt idx="324">
                  <c:v>16-Apr-2020</c:v>
                </c:pt>
                <c:pt idx="325">
                  <c:v>17-Apr-2020</c:v>
                </c:pt>
                <c:pt idx="326">
                  <c:v>20-Apr-2020</c:v>
                </c:pt>
                <c:pt idx="327">
                  <c:v>21-Apr-2020</c:v>
                </c:pt>
                <c:pt idx="328">
                  <c:v>22-Apr-2020</c:v>
                </c:pt>
                <c:pt idx="329">
                  <c:v>23-Apr-2020</c:v>
                </c:pt>
                <c:pt idx="330">
                  <c:v>24-Apr-2020</c:v>
                </c:pt>
                <c:pt idx="331">
                  <c:v>27-Apr-2020</c:v>
                </c:pt>
                <c:pt idx="332">
                  <c:v>28-Apr-2020</c:v>
                </c:pt>
                <c:pt idx="333">
                  <c:v>29-Apr-2020</c:v>
                </c:pt>
                <c:pt idx="334">
                  <c:v>30-Apr-2020</c:v>
                </c:pt>
                <c:pt idx="335">
                  <c:v>01-May-2020</c:v>
                </c:pt>
                <c:pt idx="336">
                  <c:v>04-May-2020</c:v>
                </c:pt>
                <c:pt idx="337">
                  <c:v>05-May-2020</c:v>
                </c:pt>
                <c:pt idx="338">
                  <c:v>06-May-2020</c:v>
                </c:pt>
                <c:pt idx="339">
                  <c:v>07-May-2020</c:v>
                </c:pt>
                <c:pt idx="340">
                  <c:v>08-May-2020</c:v>
                </c:pt>
                <c:pt idx="341">
                  <c:v>11-May-2020</c:v>
                </c:pt>
                <c:pt idx="342">
                  <c:v>12-May-2020</c:v>
                </c:pt>
                <c:pt idx="343">
                  <c:v>13-May-2020</c:v>
                </c:pt>
                <c:pt idx="344">
                  <c:v>14-May-2020</c:v>
                </c:pt>
                <c:pt idx="345">
                  <c:v>15-May-2020</c:v>
                </c:pt>
                <c:pt idx="346">
                  <c:v>18-May-2020</c:v>
                </c:pt>
                <c:pt idx="347">
                  <c:v>19-May-2020</c:v>
                </c:pt>
                <c:pt idx="348">
                  <c:v>20-May-2020</c:v>
                </c:pt>
                <c:pt idx="349">
                  <c:v>21-May-2020</c:v>
                </c:pt>
                <c:pt idx="350">
                  <c:v>22-May-2020</c:v>
                </c:pt>
                <c:pt idx="351">
                  <c:v>25-May-2020</c:v>
                </c:pt>
                <c:pt idx="352">
                  <c:v>26-May-2020</c:v>
                </c:pt>
                <c:pt idx="353">
                  <c:v>27-May-2020</c:v>
                </c:pt>
                <c:pt idx="354">
                  <c:v>28-May-2020</c:v>
                </c:pt>
                <c:pt idx="355">
                  <c:v>29-May-2020</c:v>
                </c:pt>
                <c:pt idx="356">
                  <c:v>01-Jun-2020</c:v>
                </c:pt>
                <c:pt idx="357">
                  <c:v>02-Jun-2020</c:v>
                </c:pt>
                <c:pt idx="358">
                  <c:v>03-Jun-2020</c:v>
                </c:pt>
                <c:pt idx="359">
                  <c:v>04-Jun-2020</c:v>
                </c:pt>
                <c:pt idx="360">
                  <c:v>05-Jun-2020</c:v>
                </c:pt>
                <c:pt idx="361">
                  <c:v>09-Jun-2020</c:v>
                </c:pt>
                <c:pt idx="362">
                  <c:v>10-Jun-2020</c:v>
                </c:pt>
                <c:pt idx="363">
                  <c:v>11-Jun-2020</c:v>
                </c:pt>
                <c:pt idx="364">
                  <c:v>12-Jun-2020</c:v>
                </c:pt>
                <c:pt idx="365">
                  <c:v>15-Jun-2020</c:v>
                </c:pt>
                <c:pt idx="366">
                  <c:v>16-Jun-2020</c:v>
                </c:pt>
                <c:pt idx="367">
                  <c:v>17-Jun-2020</c:v>
                </c:pt>
                <c:pt idx="368">
                  <c:v>18-Jun-2020</c:v>
                </c:pt>
                <c:pt idx="369">
                  <c:v>19-Jun-2020</c:v>
                </c:pt>
                <c:pt idx="370">
                  <c:v>22-Jun-2020</c:v>
                </c:pt>
                <c:pt idx="371">
                  <c:v>23-Jun-2020</c:v>
                </c:pt>
                <c:pt idx="372">
                  <c:v>24-Jun-2020</c:v>
                </c:pt>
                <c:pt idx="373">
                  <c:v>25-Jun-2020</c:v>
                </c:pt>
                <c:pt idx="374">
                  <c:v>26-Jun-2020</c:v>
                </c:pt>
                <c:pt idx="375">
                  <c:v>29-Jun-2020</c:v>
                </c:pt>
                <c:pt idx="376">
                  <c:v>30-Jun-2020</c:v>
                </c:pt>
                <c:pt idx="377">
                  <c:v>01-Jul-2020</c:v>
                </c:pt>
                <c:pt idx="378">
                  <c:v>02-Jul-2020</c:v>
                </c:pt>
                <c:pt idx="379">
                  <c:v>03-Jul-2020</c:v>
                </c:pt>
                <c:pt idx="380">
                  <c:v>06-Jul-2020</c:v>
                </c:pt>
                <c:pt idx="381">
                  <c:v>07-Jul-2020</c:v>
                </c:pt>
                <c:pt idx="382">
                  <c:v>08-Jul-2020</c:v>
                </c:pt>
                <c:pt idx="383">
                  <c:v>09-Jul-2020</c:v>
                </c:pt>
                <c:pt idx="384">
                  <c:v>10-Jul-2020</c:v>
                </c:pt>
                <c:pt idx="385">
                  <c:v>13-Jul-2020</c:v>
                </c:pt>
                <c:pt idx="386">
                  <c:v>14-Jul-2020</c:v>
                </c:pt>
                <c:pt idx="387">
                  <c:v>15-Jul-2020</c:v>
                </c:pt>
                <c:pt idx="388">
                  <c:v>16-Jul-2020</c:v>
                </c:pt>
                <c:pt idx="389">
                  <c:v>17-Jul-2020</c:v>
                </c:pt>
                <c:pt idx="390">
                  <c:v>20-Jul-2020</c:v>
                </c:pt>
                <c:pt idx="391">
                  <c:v>21-Jul-2020</c:v>
                </c:pt>
                <c:pt idx="392">
                  <c:v>22-Jul-2020</c:v>
                </c:pt>
                <c:pt idx="393">
                  <c:v>23-Jul-2020</c:v>
                </c:pt>
                <c:pt idx="394">
                  <c:v>24-Jul-2020</c:v>
                </c:pt>
                <c:pt idx="395">
                  <c:v>27-Jul-2020</c:v>
                </c:pt>
                <c:pt idx="396">
                  <c:v>28-Jul-2020</c:v>
                </c:pt>
                <c:pt idx="397">
                  <c:v>29-Jul-2020</c:v>
                </c:pt>
                <c:pt idx="398">
                  <c:v>30-Jul-2020</c:v>
                </c:pt>
                <c:pt idx="399">
                  <c:v>31-Jul-2020</c:v>
                </c:pt>
                <c:pt idx="400">
                  <c:v>03-Aug-2020</c:v>
                </c:pt>
                <c:pt idx="401">
                  <c:v>04-Aug-2020</c:v>
                </c:pt>
                <c:pt idx="402">
                  <c:v>05-Aug-2020</c:v>
                </c:pt>
                <c:pt idx="403">
                  <c:v>06-Aug-2020</c:v>
                </c:pt>
                <c:pt idx="404">
                  <c:v>07-Aug-2020</c:v>
                </c:pt>
                <c:pt idx="405">
                  <c:v>10-Aug-2020</c:v>
                </c:pt>
                <c:pt idx="406">
                  <c:v>11-Aug-2020</c:v>
                </c:pt>
                <c:pt idx="407">
                  <c:v>12-Aug-2020</c:v>
                </c:pt>
                <c:pt idx="408">
                  <c:v>13-Aug-2020</c:v>
                </c:pt>
                <c:pt idx="409">
                  <c:v>14-Aug-2020</c:v>
                </c:pt>
                <c:pt idx="410">
                  <c:v>17-Aug-2020</c:v>
                </c:pt>
                <c:pt idx="411">
                  <c:v>18-Aug-2020</c:v>
                </c:pt>
                <c:pt idx="412">
                  <c:v>19-Aug-2020</c:v>
                </c:pt>
                <c:pt idx="413">
                  <c:v>20-Aug-2020</c:v>
                </c:pt>
                <c:pt idx="414">
                  <c:v>21-Aug-2020</c:v>
                </c:pt>
                <c:pt idx="415">
                  <c:v>24-Aug-2020</c:v>
                </c:pt>
                <c:pt idx="416">
                  <c:v>25-Aug-2020</c:v>
                </c:pt>
                <c:pt idx="417">
                  <c:v>26-Aug-2020</c:v>
                </c:pt>
                <c:pt idx="418">
                  <c:v>27-Aug-2020</c:v>
                </c:pt>
                <c:pt idx="419">
                  <c:v>28-Aug-2020</c:v>
                </c:pt>
                <c:pt idx="420">
                  <c:v>31-Aug-2020</c:v>
                </c:pt>
                <c:pt idx="421">
                  <c:v>01-Sep-2020</c:v>
                </c:pt>
                <c:pt idx="422">
                  <c:v>02-Sep-2020</c:v>
                </c:pt>
                <c:pt idx="423">
                  <c:v>03-Sep-2020</c:v>
                </c:pt>
                <c:pt idx="424">
                  <c:v>04-Sep-2020</c:v>
                </c:pt>
                <c:pt idx="425">
                  <c:v>07-Sep-2020</c:v>
                </c:pt>
                <c:pt idx="426">
                  <c:v>08-Sep-2020</c:v>
                </c:pt>
                <c:pt idx="427">
                  <c:v>09-Sep-2020</c:v>
                </c:pt>
                <c:pt idx="428">
                  <c:v>10-Sep-2020</c:v>
                </c:pt>
                <c:pt idx="429">
                  <c:v>11-Sep-2020</c:v>
                </c:pt>
                <c:pt idx="430">
                  <c:v>14-Sep-2020</c:v>
                </c:pt>
                <c:pt idx="431">
                  <c:v>15-Sep-2020</c:v>
                </c:pt>
                <c:pt idx="432">
                  <c:v>16-Sep-2020</c:v>
                </c:pt>
                <c:pt idx="433">
                  <c:v>17-Sep-2020</c:v>
                </c:pt>
                <c:pt idx="434">
                  <c:v>18-Sep-2020</c:v>
                </c:pt>
                <c:pt idx="435">
                  <c:v>21-Sep-2020</c:v>
                </c:pt>
                <c:pt idx="436">
                  <c:v>22-Sep-2020</c:v>
                </c:pt>
                <c:pt idx="437">
                  <c:v>23-Sep-2020</c:v>
                </c:pt>
                <c:pt idx="438">
                  <c:v>24-Sep-2020</c:v>
                </c:pt>
                <c:pt idx="439">
                  <c:v>25-Sep-2020</c:v>
                </c:pt>
                <c:pt idx="440">
                  <c:v>28-Sep-2020</c:v>
                </c:pt>
                <c:pt idx="441">
                  <c:v>29-Sep-2020</c:v>
                </c:pt>
                <c:pt idx="442">
                  <c:v>30-Sep-2020</c:v>
                </c:pt>
                <c:pt idx="443">
                  <c:v>01-Oct-2020</c:v>
                </c:pt>
                <c:pt idx="444">
                  <c:v>02-Oct-2020</c:v>
                </c:pt>
                <c:pt idx="445">
                  <c:v>06-Oct-2020</c:v>
                </c:pt>
                <c:pt idx="446">
                  <c:v>07-Oct-2020</c:v>
                </c:pt>
                <c:pt idx="447">
                  <c:v>08-Oct-2020</c:v>
                </c:pt>
                <c:pt idx="448">
                  <c:v>09-Oct-2020</c:v>
                </c:pt>
                <c:pt idx="449">
                  <c:v>12-Oct-2020</c:v>
                </c:pt>
                <c:pt idx="450">
                  <c:v>13-Oct-2020</c:v>
                </c:pt>
                <c:pt idx="451">
                  <c:v>14-Oct-2020</c:v>
                </c:pt>
                <c:pt idx="452">
                  <c:v>15-Oct-2020</c:v>
                </c:pt>
                <c:pt idx="453">
                  <c:v>16-Oct-2020</c:v>
                </c:pt>
                <c:pt idx="454">
                  <c:v>19-Oct-2020</c:v>
                </c:pt>
                <c:pt idx="455">
                  <c:v>20-Oct-2020</c:v>
                </c:pt>
                <c:pt idx="456">
                  <c:v>21-Oct-2020</c:v>
                </c:pt>
                <c:pt idx="457">
                  <c:v>22-Oct-2020</c:v>
                </c:pt>
                <c:pt idx="458">
                  <c:v>23-Oct-2020</c:v>
                </c:pt>
                <c:pt idx="459">
                  <c:v>26-Oct-2020</c:v>
                </c:pt>
                <c:pt idx="460">
                  <c:v>27-Oct-2020</c:v>
                </c:pt>
                <c:pt idx="461">
                  <c:v>28-Oct-2020</c:v>
                </c:pt>
                <c:pt idx="462">
                  <c:v>29-Oct-2020</c:v>
                </c:pt>
                <c:pt idx="463">
                  <c:v>30-Oct-2020</c:v>
                </c:pt>
                <c:pt idx="464">
                  <c:v>02-Nov-2020</c:v>
                </c:pt>
                <c:pt idx="465">
                  <c:v>03-Nov-2020</c:v>
                </c:pt>
                <c:pt idx="466">
                  <c:v>04-Nov-2020</c:v>
                </c:pt>
                <c:pt idx="467">
                  <c:v>05-Nov-2020</c:v>
                </c:pt>
                <c:pt idx="468">
                  <c:v>06-Nov-2020</c:v>
                </c:pt>
                <c:pt idx="469">
                  <c:v>09-Nov-2020</c:v>
                </c:pt>
                <c:pt idx="470">
                  <c:v>10-Nov-2020</c:v>
                </c:pt>
                <c:pt idx="471">
                  <c:v>11-Nov-2020</c:v>
                </c:pt>
                <c:pt idx="472">
                  <c:v>12-Nov-2020</c:v>
                </c:pt>
                <c:pt idx="473">
                  <c:v>13-Nov-2020</c:v>
                </c:pt>
                <c:pt idx="474">
                  <c:v>16-Nov-2020</c:v>
                </c:pt>
                <c:pt idx="475">
                  <c:v>17-Nov-2020</c:v>
                </c:pt>
                <c:pt idx="476">
                  <c:v>18-Nov-2020</c:v>
                </c:pt>
                <c:pt idx="477">
                  <c:v>19-Nov-2020</c:v>
                </c:pt>
                <c:pt idx="478">
                  <c:v>20-Nov-2020</c:v>
                </c:pt>
                <c:pt idx="479">
                  <c:v>23-Nov-2020</c:v>
                </c:pt>
                <c:pt idx="480">
                  <c:v>24-Nov-2020</c:v>
                </c:pt>
                <c:pt idx="481">
                  <c:v>25-Nov-2020</c:v>
                </c:pt>
                <c:pt idx="482">
                  <c:v>26-Nov-2020</c:v>
                </c:pt>
                <c:pt idx="483">
                  <c:v>27-Nov-2020</c:v>
                </c:pt>
                <c:pt idx="484">
                  <c:v>30-Nov-2020</c:v>
                </c:pt>
                <c:pt idx="485">
                  <c:v>01-Dec-2020</c:v>
                </c:pt>
                <c:pt idx="486">
                  <c:v>02-Dec-2020</c:v>
                </c:pt>
                <c:pt idx="487">
                  <c:v>03-Dec-2020</c:v>
                </c:pt>
                <c:pt idx="488">
                  <c:v>04-Dec-2020</c:v>
                </c:pt>
                <c:pt idx="489">
                  <c:v>07-Dec-2020</c:v>
                </c:pt>
                <c:pt idx="490">
                  <c:v>08-Dec-2020</c:v>
                </c:pt>
                <c:pt idx="491">
                  <c:v>09-Dec-2020</c:v>
                </c:pt>
                <c:pt idx="492">
                  <c:v>10-Dec-2020</c:v>
                </c:pt>
                <c:pt idx="493">
                  <c:v>11-Dec-2020</c:v>
                </c:pt>
                <c:pt idx="494">
                  <c:v>14-Dec-2020</c:v>
                </c:pt>
                <c:pt idx="495">
                  <c:v>15-Dec-2020</c:v>
                </c:pt>
                <c:pt idx="496">
                  <c:v>16-Dec-2020</c:v>
                </c:pt>
                <c:pt idx="497">
                  <c:v>17-Dec-2020</c:v>
                </c:pt>
                <c:pt idx="498">
                  <c:v>18-Dec-2020</c:v>
                </c:pt>
                <c:pt idx="499">
                  <c:v>21-Dec-2020</c:v>
                </c:pt>
                <c:pt idx="500">
                  <c:v>22-Dec-2020</c:v>
                </c:pt>
                <c:pt idx="501">
                  <c:v>23-Dec-2020</c:v>
                </c:pt>
                <c:pt idx="502">
                  <c:v>24-Dec-2020</c:v>
                </c:pt>
                <c:pt idx="503">
                  <c:v>29-Dec-2020</c:v>
                </c:pt>
                <c:pt idx="504">
                  <c:v>30-Dec-2020</c:v>
                </c:pt>
                <c:pt idx="505">
                  <c:v>31-Dec-2020</c:v>
                </c:pt>
                <c:pt idx="506">
                  <c:v>04-Jan-2021</c:v>
                </c:pt>
                <c:pt idx="507">
                  <c:v>05-Jan-2021</c:v>
                </c:pt>
                <c:pt idx="508">
                  <c:v>06-Jan-2021</c:v>
                </c:pt>
                <c:pt idx="509">
                  <c:v>07-Jan-2021</c:v>
                </c:pt>
                <c:pt idx="510">
                  <c:v>08-Jan-2021</c:v>
                </c:pt>
                <c:pt idx="511">
                  <c:v>11-Jan-2021</c:v>
                </c:pt>
                <c:pt idx="512">
                  <c:v>12-Jan-2021</c:v>
                </c:pt>
                <c:pt idx="513">
                  <c:v>13-Jan-2021</c:v>
                </c:pt>
                <c:pt idx="514">
                  <c:v>14-Jan-2021</c:v>
                </c:pt>
                <c:pt idx="515">
                  <c:v>15-Jan-2021</c:v>
                </c:pt>
                <c:pt idx="516">
                  <c:v>18-Jan-2021</c:v>
                </c:pt>
                <c:pt idx="517">
                  <c:v>19-Jan-2021</c:v>
                </c:pt>
                <c:pt idx="518">
                  <c:v>20-Jan-2021</c:v>
                </c:pt>
                <c:pt idx="519">
                  <c:v>21-Jan-2021</c:v>
                </c:pt>
                <c:pt idx="520">
                  <c:v>22-Jan-2021</c:v>
                </c:pt>
                <c:pt idx="521">
                  <c:v>25-Jan-2021</c:v>
                </c:pt>
                <c:pt idx="522">
                  <c:v>27-Jan-2021</c:v>
                </c:pt>
                <c:pt idx="523">
                  <c:v>28-Jan-2021</c:v>
                </c:pt>
                <c:pt idx="524">
                  <c:v>29-Jan-2021</c:v>
                </c:pt>
                <c:pt idx="525">
                  <c:v>01-Feb-2021</c:v>
                </c:pt>
                <c:pt idx="526">
                  <c:v>02-Feb-2021</c:v>
                </c:pt>
                <c:pt idx="527">
                  <c:v>03-Feb-2021</c:v>
                </c:pt>
                <c:pt idx="528">
                  <c:v>04-Feb-2021</c:v>
                </c:pt>
                <c:pt idx="529">
                  <c:v>05-Feb-2021</c:v>
                </c:pt>
                <c:pt idx="530">
                  <c:v>08-Feb-2021</c:v>
                </c:pt>
                <c:pt idx="531">
                  <c:v>09-Feb-2021</c:v>
                </c:pt>
                <c:pt idx="532">
                  <c:v>10-Feb-2021</c:v>
                </c:pt>
                <c:pt idx="533">
                  <c:v>11-Feb-2021</c:v>
                </c:pt>
                <c:pt idx="534">
                  <c:v>12-Feb-2021</c:v>
                </c:pt>
                <c:pt idx="535">
                  <c:v>15-Feb-2021</c:v>
                </c:pt>
                <c:pt idx="536">
                  <c:v>16-Feb-2021</c:v>
                </c:pt>
                <c:pt idx="537">
                  <c:v>17-Feb-2021</c:v>
                </c:pt>
                <c:pt idx="538">
                  <c:v>18-Feb-2021</c:v>
                </c:pt>
                <c:pt idx="539">
                  <c:v>19-Feb-2021</c:v>
                </c:pt>
                <c:pt idx="540">
                  <c:v>22-Feb-2021</c:v>
                </c:pt>
                <c:pt idx="541">
                  <c:v>23-Feb-2021</c:v>
                </c:pt>
                <c:pt idx="542">
                  <c:v>24-Feb-2021</c:v>
                </c:pt>
                <c:pt idx="543">
                  <c:v>25-Feb-2021</c:v>
                </c:pt>
                <c:pt idx="544">
                  <c:v>26-Feb-2021</c:v>
                </c:pt>
                <c:pt idx="545">
                  <c:v>01-Mar-2021</c:v>
                </c:pt>
                <c:pt idx="546">
                  <c:v>02-Mar-2021</c:v>
                </c:pt>
                <c:pt idx="547">
                  <c:v>03-Mar-2021</c:v>
                </c:pt>
                <c:pt idx="548">
                  <c:v>04-Mar-2021</c:v>
                </c:pt>
                <c:pt idx="549">
                  <c:v>05-Mar-2021</c:v>
                </c:pt>
                <c:pt idx="550">
                  <c:v>08-Mar-2021</c:v>
                </c:pt>
                <c:pt idx="551">
                  <c:v>09-Mar-2021</c:v>
                </c:pt>
                <c:pt idx="552">
                  <c:v>10-Mar-2021</c:v>
                </c:pt>
                <c:pt idx="553">
                  <c:v>11-Mar-2021</c:v>
                </c:pt>
                <c:pt idx="554">
                  <c:v>12-Mar-2021</c:v>
                </c:pt>
                <c:pt idx="555">
                  <c:v>15-Mar-2021</c:v>
                </c:pt>
                <c:pt idx="556">
                  <c:v>16-Mar-2021</c:v>
                </c:pt>
                <c:pt idx="557">
                  <c:v>17-Mar-2021</c:v>
                </c:pt>
                <c:pt idx="558">
                  <c:v>18-Mar-2021</c:v>
                </c:pt>
                <c:pt idx="559">
                  <c:v>19-Mar-2021</c:v>
                </c:pt>
                <c:pt idx="560">
                  <c:v>22-Mar-2021</c:v>
                </c:pt>
                <c:pt idx="561">
                  <c:v>23-Mar-2021</c:v>
                </c:pt>
                <c:pt idx="562">
                  <c:v>24-Mar-2021</c:v>
                </c:pt>
                <c:pt idx="563">
                  <c:v>25-Mar-2021</c:v>
                </c:pt>
                <c:pt idx="564">
                  <c:v>26-Mar-2021</c:v>
                </c:pt>
                <c:pt idx="565">
                  <c:v>29-Mar-2021</c:v>
                </c:pt>
                <c:pt idx="566">
                  <c:v>30-Mar-2021</c:v>
                </c:pt>
                <c:pt idx="567">
                  <c:v>31-Mar-2021</c:v>
                </c:pt>
                <c:pt idx="568">
                  <c:v>01-Apr-2021</c:v>
                </c:pt>
                <c:pt idx="569">
                  <c:v>06-Apr-2021</c:v>
                </c:pt>
                <c:pt idx="570">
                  <c:v>07-Apr-2021</c:v>
                </c:pt>
                <c:pt idx="571">
                  <c:v>08-Apr-2021</c:v>
                </c:pt>
                <c:pt idx="572">
                  <c:v>09-Apr-2021</c:v>
                </c:pt>
                <c:pt idx="573">
                  <c:v>12-Apr-2021</c:v>
                </c:pt>
                <c:pt idx="574">
                  <c:v>13-Apr-2021</c:v>
                </c:pt>
                <c:pt idx="575">
                  <c:v>14-Apr-2021</c:v>
                </c:pt>
                <c:pt idx="576">
                  <c:v>15-Apr-2021</c:v>
                </c:pt>
                <c:pt idx="577">
                  <c:v>16-Apr-2021</c:v>
                </c:pt>
                <c:pt idx="578">
                  <c:v>19-Apr-2021</c:v>
                </c:pt>
                <c:pt idx="579">
                  <c:v>20-Apr-2021</c:v>
                </c:pt>
                <c:pt idx="580">
                  <c:v>21-Apr-2021</c:v>
                </c:pt>
                <c:pt idx="581">
                  <c:v>22-Apr-2021</c:v>
                </c:pt>
                <c:pt idx="582">
                  <c:v>23-Apr-2021</c:v>
                </c:pt>
                <c:pt idx="583">
                  <c:v>26-Apr-2021</c:v>
                </c:pt>
                <c:pt idx="584">
                  <c:v>27-Apr-2021</c:v>
                </c:pt>
                <c:pt idx="585">
                  <c:v>28-Apr-2021</c:v>
                </c:pt>
                <c:pt idx="586">
                  <c:v>29-Apr-2021</c:v>
                </c:pt>
                <c:pt idx="587">
                  <c:v>30-Apr-2021</c:v>
                </c:pt>
                <c:pt idx="588">
                  <c:v>03-May-2021</c:v>
                </c:pt>
                <c:pt idx="589">
                  <c:v>04-May-2021</c:v>
                </c:pt>
                <c:pt idx="590">
                  <c:v>05-May-2021</c:v>
                </c:pt>
                <c:pt idx="591">
                  <c:v>06-May-2021</c:v>
                </c:pt>
                <c:pt idx="592">
                  <c:v>07-May-2021</c:v>
                </c:pt>
                <c:pt idx="593">
                  <c:v>10-May-2021</c:v>
                </c:pt>
                <c:pt idx="594">
                  <c:v>11-May-2021</c:v>
                </c:pt>
                <c:pt idx="595">
                  <c:v>12-May-2021</c:v>
                </c:pt>
                <c:pt idx="596">
                  <c:v>13-May-2021</c:v>
                </c:pt>
                <c:pt idx="597">
                  <c:v>14-May-2021</c:v>
                </c:pt>
                <c:pt idx="598">
                  <c:v>17-May-2021</c:v>
                </c:pt>
                <c:pt idx="599">
                  <c:v>18-May-2021</c:v>
                </c:pt>
                <c:pt idx="600">
                  <c:v>19-May-2021</c:v>
                </c:pt>
                <c:pt idx="601">
                  <c:v>20-May-2021</c:v>
                </c:pt>
                <c:pt idx="602">
                  <c:v>21-May-2021</c:v>
                </c:pt>
                <c:pt idx="603">
                  <c:v>24-May-2021</c:v>
                </c:pt>
                <c:pt idx="604">
                  <c:v>25-May-2021</c:v>
                </c:pt>
                <c:pt idx="605">
                  <c:v>26-May-2021</c:v>
                </c:pt>
                <c:pt idx="606">
                  <c:v>27-May-2021</c:v>
                </c:pt>
                <c:pt idx="607">
                  <c:v>28-May-2021</c:v>
                </c:pt>
                <c:pt idx="608">
                  <c:v>31-May-2021</c:v>
                </c:pt>
                <c:pt idx="609">
                  <c:v>01-Jun-2021</c:v>
                </c:pt>
                <c:pt idx="610">
                  <c:v>02-Jun-2021</c:v>
                </c:pt>
                <c:pt idx="611">
                  <c:v>03-Jun-2021</c:v>
                </c:pt>
                <c:pt idx="612">
                  <c:v>04-Jun-2021</c:v>
                </c:pt>
                <c:pt idx="613">
                  <c:v>07-Jun-2021</c:v>
                </c:pt>
                <c:pt idx="614">
                  <c:v>08-Jun-2021</c:v>
                </c:pt>
                <c:pt idx="615">
                  <c:v>09-Jun-2021</c:v>
                </c:pt>
                <c:pt idx="616">
                  <c:v>10-Jun-2021</c:v>
                </c:pt>
                <c:pt idx="617">
                  <c:v>11-Jun-2021</c:v>
                </c:pt>
                <c:pt idx="618">
                  <c:v>15-Jun-2021</c:v>
                </c:pt>
                <c:pt idx="619">
                  <c:v>16-Jun-2021</c:v>
                </c:pt>
                <c:pt idx="620">
                  <c:v>17-Jun-2021</c:v>
                </c:pt>
                <c:pt idx="621">
                  <c:v>18-Jun-2021</c:v>
                </c:pt>
                <c:pt idx="622">
                  <c:v>21-Jun-2021</c:v>
                </c:pt>
                <c:pt idx="623">
                  <c:v>22-Jun-2021</c:v>
                </c:pt>
                <c:pt idx="624">
                  <c:v>23-Jun-2021</c:v>
                </c:pt>
                <c:pt idx="625">
                  <c:v>24-Jun-2021</c:v>
                </c:pt>
                <c:pt idx="626">
                  <c:v>25-Jun-2021</c:v>
                </c:pt>
                <c:pt idx="627">
                  <c:v>28-Jun-2021</c:v>
                </c:pt>
                <c:pt idx="628">
                  <c:v>29-Jun-2021</c:v>
                </c:pt>
                <c:pt idx="629">
                  <c:v>30-Jun-2021</c:v>
                </c:pt>
                <c:pt idx="630">
                  <c:v>01-Jul-2021</c:v>
                </c:pt>
                <c:pt idx="631">
                  <c:v>02-Jul-2021</c:v>
                </c:pt>
                <c:pt idx="632">
                  <c:v>05-Jul-2021</c:v>
                </c:pt>
                <c:pt idx="633">
                  <c:v>06-Jul-2021</c:v>
                </c:pt>
                <c:pt idx="634">
                  <c:v>07-Jul-2021</c:v>
                </c:pt>
                <c:pt idx="635">
                  <c:v>08-Jul-2021</c:v>
                </c:pt>
                <c:pt idx="636">
                  <c:v>09-Jul-2021</c:v>
                </c:pt>
                <c:pt idx="637">
                  <c:v>12-Jul-2021</c:v>
                </c:pt>
                <c:pt idx="638">
                  <c:v>13-Jul-2021</c:v>
                </c:pt>
                <c:pt idx="639">
                  <c:v>14-Jul-2021</c:v>
                </c:pt>
                <c:pt idx="640">
                  <c:v>15-Jul-2021</c:v>
                </c:pt>
                <c:pt idx="641">
                  <c:v>16-Jul-2021</c:v>
                </c:pt>
                <c:pt idx="642">
                  <c:v>19-Jul-2021</c:v>
                </c:pt>
                <c:pt idx="643">
                  <c:v>20-Jul-2021</c:v>
                </c:pt>
                <c:pt idx="644">
                  <c:v>21-Jul-2021</c:v>
                </c:pt>
                <c:pt idx="645">
                  <c:v>22-Jul-2021</c:v>
                </c:pt>
                <c:pt idx="646">
                  <c:v>23-Jul-2021</c:v>
                </c:pt>
                <c:pt idx="647">
                  <c:v>26-Jul-2021</c:v>
                </c:pt>
                <c:pt idx="648">
                  <c:v>27-Jul-2021</c:v>
                </c:pt>
                <c:pt idx="649">
                  <c:v>28-Jul-2021</c:v>
                </c:pt>
                <c:pt idx="650">
                  <c:v>29-Jul-2021</c:v>
                </c:pt>
                <c:pt idx="651">
                  <c:v>30-Jul-2021</c:v>
                </c:pt>
                <c:pt idx="652">
                  <c:v>03-Aug-2021</c:v>
                </c:pt>
                <c:pt idx="653">
                  <c:v>04-Aug-2021</c:v>
                </c:pt>
                <c:pt idx="654">
                  <c:v>05-Aug-2021</c:v>
                </c:pt>
                <c:pt idx="655">
                  <c:v>06-Aug-2021</c:v>
                </c:pt>
                <c:pt idx="656">
                  <c:v>09-Aug-2021</c:v>
                </c:pt>
                <c:pt idx="657">
                  <c:v>10-Aug-2021</c:v>
                </c:pt>
                <c:pt idx="658">
                  <c:v>11-Aug-2021</c:v>
                </c:pt>
                <c:pt idx="659">
                  <c:v>12-Aug-2021</c:v>
                </c:pt>
                <c:pt idx="660">
                  <c:v>13-Aug-2021</c:v>
                </c:pt>
                <c:pt idx="661">
                  <c:v>16-Aug-2021</c:v>
                </c:pt>
                <c:pt idx="662">
                  <c:v>17-Aug-2021</c:v>
                </c:pt>
                <c:pt idx="663">
                  <c:v>18-Aug-2021</c:v>
                </c:pt>
                <c:pt idx="664">
                  <c:v>19-Aug-2021</c:v>
                </c:pt>
                <c:pt idx="665">
                  <c:v>20-Aug-2021</c:v>
                </c:pt>
                <c:pt idx="666">
                  <c:v>23-Aug-2021</c:v>
                </c:pt>
                <c:pt idx="667">
                  <c:v>24-Aug-2021</c:v>
                </c:pt>
                <c:pt idx="668">
                  <c:v>25-Aug-2021</c:v>
                </c:pt>
                <c:pt idx="669">
                  <c:v>26-Aug-2021</c:v>
                </c:pt>
                <c:pt idx="670">
                  <c:v>27-Aug-2021</c:v>
                </c:pt>
                <c:pt idx="671">
                  <c:v>30-Aug-2021</c:v>
                </c:pt>
                <c:pt idx="672">
                  <c:v>31-Aug-2021</c:v>
                </c:pt>
                <c:pt idx="673">
                  <c:v>01-Sep-2021</c:v>
                </c:pt>
                <c:pt idx="674">
                  <c:v>02-Sep-2021</c:v>
                </c:pt>
                <c:pt idx="675">
                  <c:v>03-Sep-2021</c:v>
                </c:pt>
                <c:pt idx="676">
                  <c:v>06-Sep-2021</c:v>
                </c:pt>
                <c:pt idx="677">
                  <c:v>07-Sep-2021</c:v>
                </c:pt>
                <c:pt idx="678">
                  <c:v>08-Sep-2021</c:v>
                </c:pt>
                <c:pt idx="679">
                  <c:v>09-Sep-2021</c:v>
                </c:pt>
                <c:pt idx="680">
                  <c:v>10-Sep-2021</c:v>
                </c:pt>
                <c:pt idx="681">
                  <c:v>13-Sep-2021</c:v>
                </c:pt>
                <c:pt idx="682">
                  <c:v>14-Sep-2021</c:v>
                </c:pt>
                <c:pt idx="683">
                  <c:v>15-Sep-2021</c:v>
                </c:pt>
                <c:pt idx="684">
                  <c:v>16-Sep-2021</c:v>
                </c:pt>
                <c:pt idx="685">
                  <c:v>17-Sep-2021</c:v>
                </c:pt>
                <c:pt idx="686">
                  <c:v>20-Sep-2021</c:v>
                </c:pt>
                <c:pt idx="687">
                  <c:v>21-Sep-2021</c:v>
                </c:pt>
                <c:pt idx="688">
                  <c:v>22-Sep-2021</c:v>
                </c:pt>
                <c:pt idx="689">
                  <c:v>23-Sep-2021</c:v>
                </c:pt>
                <c:pt idx="690">
                  <c:v>24-Sep-2021</c:v>
                </c:pt>
                <c:pt idx="691">
                  <c:v>27-Sep-2021</c:v>
                </c:pt>
                <c:pt idx="692">
                  <c:v>28-Sep-2021</c:v>
                </c:pt>
                <c:pt idx="693">
                  <c:v>29-Sep-2021</c:v>
                </c:pt>
                <c:pt idx="694">
                  <c:v>30-Sep-2021</c:v>
                </c:pt>
                <c:pt idx="695">
                  <c:v>01-Oct-2021</c:v>
                </c:pt>
                <c:pt idx="696">
                  <c:v>05-Oct-2021</c:v>
                </c:pt>
                <c:pt idx="697">
                  <c:v>06-Oct-2021</c:v>
                </c:pt>
                <c:pt idx="698">
                  <c:v>07-Oct-2021</c:v>
                </c:pt>
                <c:pt idx="699">
                  <c:v>08-Oct-2021</c:v>
                </c:pt>
                <c:pt idx="700">
                  <c:v>11-Oct-2021</c:v>
                </c:pt>
                <c:pt idx="701">
                  <c:v>12-Oct-2021</c:v>
                </c:pt>
                <c:pt idx="702">
                  <c:v>13-Oct-2021</c:v>
                </c:pt>
                <c:pt idx="703">
                  <c:v>14-Oct-2021</c:v>
                </c:pt>
                <c:pt idx="704">
                  <c:v>15-Oct-2021</c:v>
                </c:pt>
                <c:pt idx="705">
                  <c:v>18-Oct-2021</c:v>
                </c:pt>
                <c:pt idx="706">
                  <c:v>19-Oct-2021</c:v>
                </c:pt>
                <c:pt idx="707">
                  <c:v>20-Oct-2021</c:v>
                </c:pt>
                <c:pt idx="708">
                  <c:v>21-Oct-2021</c:v>
                </c:pt>
                <c:pt idx="709">
                  <c:v>22-Oct-2021</c:v>
                </c:pt>
                <c:pt idx="710">
                  <c:v>25-Oct-2021</c:v>
                </c:pt>
                <c:pt idx="711">
                  <c:v>26-Oct-2021</c:v>
                </c:pt>
                <c:pt idx="712">
                  <c:v>27-Oct-2021</c:v>
                </c:pt>
                <c:pt idx="713">
                  <c:v>28-Oct-2021</c:v>
                </c:pt>
                <c:pt idx="714">
                  <c:v>29-Oct-2021</c:v>
                </c:pt>
                <c:pt idx="715">
                  <c:v>01-Nov-2021</c:v>
                </c:pt>
                <c:pt idx="716">
                  <c:v>02-Nov-2021</c:v>
                </c:pt>
                <c:pt idx="717">
                  <c:v>03-Nov-2021</c:v>
                </c:pt>
                <c:pt idx="718">
                  <c:v>04-Nov-2021</c:v>
                </c:pt>
                <c:pt idx="719">
                  <c:v>05-Nov-2021</c:v>
                </c:pt>
                <c:pt idx="720">
                  <c:v>08-Nov-2021</c:v>
                </c:pt>
                <c:pt idx="721">
                  <c:v>09-Nov-2021</c:v>
                </c:pt>
                <c:pt idx="722">
                  <c:v>10-Nov-2021</c:v>
                </c:pt>
                <c:pt idx="723">
                  <c:v>11-Nov-2021</c:v>
                </c:pt>
                <c:pt idx="724">
                  <c:v>12-Nov-2021</c:v>
                </c:pt>
                <c:pt idx="725">
                  <c:v>15-Nov-2021</c:v>
                </c:pt>
                <c:pt idx="726">
                  <c:v>16-Nov-2021</c:v>
                </c:pt>
                <c:pt idx="727">
                  <c:v>17-Nov-2021</c:v>
                </c:pt>
                <c:pt idx="728">
                  <c:v>18-Nov-2021</c:v>
                </c:pt>
                <c:pt idx="729">
                  <c:v>19-Nov-2021</c:v>
                </c:pt>
                <c:pt idx="730">
                  <c:v>22-Nov-2021</c:v>
                </c:pt>
                <c:pt idx="731">
                  <c:v>23-Nov-2021</c:v>
                </c:pt>
                <c:pt idx="732">
                  <c:v>24-Nov-2021</c:v>
                </c:pt>
                <c:pt idx="733">
                  <c:v>25-Nov-2021</c:v>
                </c:pt>
                <c:pt idx="734">
                  <c:v>26-Nov-2021</c:v>
                </c:pt>
                <c:pt idx="735">
                  <c:v>29-Nov-2021</c:v>
                </c:pt>
                <c:pt idx="736">
                  <c:v>30-Nov-2021</c:v>
                </c:pt>
                <c:pt idx="737">
                  <c:v>01-Dec-2021</c:v>
                </c:pt>
                <c:pt idx="738">
                  <c:v>02-Dec-2021</c:v>
                </c:pt>
                <c:pt idx="739">
                  <c:v>03-Dec-2021</c:v>
                </c:pt>
                <c:pt idx="740">
                  <c:v>06-Dec-2021</c:v>
                </c:pt>
                <c:pt idx="741">
                  <c:v>07-Dec-2021</c:v>
                </c:pt>
                <c:pt idx="742">
                  <c:v>08-Dec-2021</c:v>
                </c:pt>
                <c:pt idx="743">
                  <c:v>09-Dec-2021</c:v>
                </c:pt>
                <c:pt idx="744">
                  <c:v>10-Dec-2021</c:v>
                </c:pt>
                <c:pt idx="745">
                  <c:v>13-Dec-2021</c:v>
                </c:pt>
                <c:pt idx="746">
                  <c:v>14-Dec-2021</c:v>
                </c:pt>
                <c:pt idx="747">
                  <c:v>15-Dec-2021</c:v>
                </c:pt>
                <c:pt idx="748">
                  <c:v>16-Dec-2021</c:v>
                </c:pt>
                <c:pt idx="749">
                  <c:v>17-Dec-2021</c:v>
                </c:pt>
                <c:pt idx="750">
                  <c:v>20-Dec-2021</c:v>
                </c:pt>
                <c:pt idx="751">
                  <c:v>21-Dec-2021</c:v>
                </c:pt>
                <c:pt idx="752">
                  <c:v>22-Dec-2021</c:v>
                </c:pt>
                <c:pt idx="753">
                  <c:v>23-Dec-2021</c:v>
                </c:pt>
                <c:pt idx="754">
                  <c:v>24-Dec-2021</c:v>
                </c:pt>
                <c:pt idx="755">
                  <c:v>29-Dec-2021</c:v>
                </c:pt>
                <c:pt idx="756">
                  <c:v>30-Dec-2021</c:v>
                </c:pt>
                <c:pt idx="757">
                  <c:v>31-Dec-2021</c:v>
                </c:pt>
                <c:pt idx="758">
                  <c:v>04-Jan-2022</c:v>
                </c:pt>
                <c:pt idx="759">
                  <c:v>05-Jan-2022</c:v>
                </c:pt>
                <c:pt idx="760">
                  <c:v>06-Jan-2022</c:v>
                </c:pt>
                <c:pt idx="761">
                  <c:v>07-Jan-2022</c:v>
                </c:pt>
                <c:pt idx="762">
                  <c:v>10-Jan-2022</c:v>
                </c:pt>
                <c:pt idx="763">
                  <c:v>11-Jan-2022</c:v>
                </c:pt>
                <c:pt idx="764">
                  <c:v>12-Jan-2022</c:v>
                </c:pt>
                <c:pt idx="765">
                  <c:v>13-Jan-2022</c:v>
                </c:pt>
                <c:pt idx="766">
                  <c:v>14-Jan-2022</c:v>
                </c:pt>
                <c:pt idx="767">
                  <c:v>17-Jan-2022</c:v>
                </c:pt>
                <c:pt idx="768">
                  <c:v>18-Jan-2022</c:v>
                </c:pt>
                <c:pt idx="769">
                  <c:v>19-Jan-2022</c:v>
                </c:pt>
                <c:pt idx="770">
                  <c:v>20-Jan-2022</c:v>
                </c:pt>
                <c:pt idx="771">
                  <c:v>21-Jan-2022</c:v>
                </c:pt>
                <c:pt idx="772">
                  <c:v>24-Jan-2022</c:v>
                </c:pt>
                <c:pt idx="773">
                  <c:v>25-Jan-2022</c:v>
                </c:pt>
                <c:pt idx="774">
                  <c:v>27-Jan-2022</c:v>
                </c:pt>
                <c:pt idx="775">
                  <c:v>28-Jan-2022</c:v>
                </c:pt>
                <c:pt idx="776">
                  <c:v>31-Jan-2022</c:v>
                </c:pt>
                <c:pt idx="777">
                  <c:v>01-Feb-2022</c:v>
                </c:pt>
                <c:pt idx="778">
                  <c:v>02-Feb-2022</c:v>
                </c:pt>
                <c:pt idx="779">
                  <c:v>03-Feb-2022</c:v>
                </c:pt>
                <c:pt idx="780">
                  <c:v>04-Feb-2022</c:v>
                </c:pt>
                <c:pt idx="781">
                  <c:v>07-Feb-2022</c:v>
                </c:pt>
                <c:pt idx="782">
                  <c:v>08-Feb-2022</c:v>
                </c:pt>
                <c:pt idx="783">
                  <c:v>09-Feb-2022</c:v>
                </c:pt>
                <c:pt idx="784">
                  <c:v>10-Feb-2022</c:v>
                </c:pt>
                <c:pt idx="785">
                  <c:v>11-Feb-2022</c:v>
                </c:pt>
                <c:pt idx="786">
                  <c:v>14-Feb-2022</c:v>
                </c:pt>
                <c:pt idx="787">
                  <c:v>15-Feb-2022</c:v>
                </c:pt>
                <c:pt idx="788">
                  <c:v>16-Feb-2022</c:v>
                </c:pt>
                <c:pt idx="789">
                  <c:v>17-Feb-2022</c:v>
                </c:pt>
                <c:pt idx="790">
                  <c:v>18-Feb-2022</c:v>
                </c:pt>
                <c:pt idx="791">
                  <c:v>21-Feb-2022</c:v>
                </c:pt>
                <c:pt idx="792">
                  <c:v>22-Feb-2022</c:v>
                </c:pt>
                <c:pt idx="793">
                  <c:v>23-Feb-2022</c:v>
                </c:pt>
                <c:pt idx="794">
                  <c:v>24-Feb-2022</c:v>
                </c:pt>
                <c:pt idx="795">
                  <c:v>25-Feb-2022</c:v>
                </c:pt>
                <c:pt idx="796">
                  <c:v>28-Feb-2022</c:v>
                </c:pt>
                <c:pt idx="797">
                  <c:v>01-Mar-2022</c:v>
                </c:pt>
                <c:pt idx="798">
                  <c:v>02-Mar-2022</c:v>
                </c:pt>
                <c:pt idx="799">
                  <c:v>03-Mar-2022</c:v>
                </c:pt>
                <c:pt idx="800">
                  <c:v>04-Mar-2022</c:v>
                </c:pt>
                <c:pt idx="801">
                  <c:v>07-Mar-2022</c:v>
                </c:pt>
                <c:pt idx="802">
                  <c:v>08-Mar-2022</c:v>
                </c:pt>
                <c:pt idx="803">
                  <c:v>09-Mar-2022</c:v>
                </c:pt>
                <c:pt idx="804">
                  <c:v>10-Mar-2022</c:v>
                </c:pt>
                <c:pt idx="805">
                  <c:v>11-Mar-2022</c:v>
                </c:pt>
                <c:pt idx="806">
                  <c:v>14-Mar-2022</c:v>
                </c:pt>
                <c:pt idx="807">
                  <c:v>15-Mar-2022</c:v>
                </c:pt>
                <c:pt idx="808">
                  <c:v>16-Mar-2022</c:v>
                </c:pt>
                <c:pt idx="809">
                  <c:v>17-Mar-2022</c:v>
                </c:pt>
                <c:pt idx="810">
                  <c:v>18-Mar-2022</c:v>
                </c:pt>
                <c:pt idx="811">
                  <c:v>21-Mar-2022</c:v>
                </c:pt>
                <c:pt idx="812">
                  <c:v>22-Mar-2022</c:v>
                </c:pt>
                <c:pt idx="813">
                  <c:v>23-Mar-2022</c:v>
                </c:pt>
                <c:pt idx="814">
                  <c:v>24-Mar-2022</c:v>
                </c:pt>
                <c:pt idx="815">
                  <c:v>25-Mar-2022</c:v>
                </c:pt>
                <c:pt idx="816">
                  <c:v>28-Mar-2022</c:v>
                </c:pt>
                <c:pt idx="817">
                  <c:v>29-Mar-2022</c:v>
                </c:pt>
                <c:pt idx="818">
                  <c:v>30-Mar-2022</c:v>
                </c:pt>
                <c:pt idx="819">
                  <c:v>31-Mar-2022</c:v>
                </c:pt>
                <c:pt idx="820">
                  <c:v>01-Apr-2022</c:v>
                </c:pt>
                <c:pt idx="821">
                  <c:v>04-Apr-2022</c:v>
                </c:pt>
                <c:pt idx="822">
                  <c:v>05-Apr-2022</c:v>
                </c:pt>
                <c:pt idx="823">
                  <c:v>06-Apr-2022</c:v>
                </c:pt>
                <c:pt idx="824">
                  <c:v>07-Apr-2022</c:v>
                </c:pt>
                <c:pt idx="825">
                  <c:v>08-Apr-2022</c:v>
                </c:pt>
                <c:pt idx="826">
                  <c:v>11-Apr-2022</c:v>
                </c:pt>
                <c:pt idx="827">
                  <c:v>12-Apr-2022</c:v>
                </c:pt>
                <c:pt idx="828">
                  <c:v>13-Apr-2022</c:v>
                </c:pt>
                <c:pt idx="829">
                  <c:v>14-Apr-2022</c:v>
                </c:pt>
                <c:pt idx="830">
                  <c:v>19-Apr-2022</c:v>
                </c:pt>
                <c:pt idx="831">
                  <c:v>20-Apr-2022</c:v>
                </c:pt>
                <c:pt idx="832">
                  <c:v>21-Apr-2022</c:v>
                </c:pt>
                <c:pt idx="833">
                  <c:v>22-Apr-2022</c:v>
                </c:pt>
                <c:pt idx="834">
                  <c:v>26-Apr-2022</c:v>
                </c:pt>
                <c:pt idx="835">
                  <c:v>27-Apr-2022</c:v>
                </c:pt>
                <c:pt idx="836">
                  <c:v>28-Apr-2022</c:v>
                </c:pt>
                <c:pt idx="837">
                  <c:v>29-Apr-2022</c:v>
                </c:pt>
                <c:pt idx="838">
                  <c:v>02-May-2022</c:v>
                </c:pt>
                <c:pt idx="839">
                  <c:v>03-May-2022</c:v>
                </c:pt>
                <c:pt idx="840">
                  <c:v>04-May-2022</c:v>
                </c:pt>
                <c:pt idx="841">
                  <c:v>05-May-2022</c:v>
                </c:pt>
                <c:pt idx="842">
                  <c:v>06-May-2022</c:v>
                </c:pt>
                <c:pt idx="843">
                  <c:v>09-May-2022</c:v>
                </c:pt>
                <c:pt idx="844">
                  <c:v>10-May-2022</c:v>
                </c:pt>
                <c:pt idx="845">
                  <c:v>11-May-2022</c:v>
                </c:pt>
                <c:pt idx="846">
                  <c:v>12-May-2022</c:v>
                </c:pt>
                <c:pt idx="847">
                  <c:v>13-May-2022</c:v>
                </c:pt>
                <c:pt idx="848">
                  <c:v>16-May-2022</c:v>
                </c:pt>
                <c:pt idx="849">
                  <c:v>17-May-2022</c:v>
                </c:pt>
                <c:pt idx="850">
                  <c:v>18-May-2022</c:v>
                </c:pt>
                <c:pt idx="851">
                  <c:v>19-May-2022</c:v>
                </c:pt>
                <c:pt idx="852">
                  <c:v>20-May-2022</c:v>
                </c:pt>
                <c:pt idx="853">
                  <c:v>23-May-2022</c:v>
                </c:pt>
                <c:pt idx="854">
                  <c:v>24-May-2022</c:v>
                </c:pt>
                <c:pt idx="855">
                  <c:v>25-May-2022</c:v>
                </c:pt>
                <c:pt idx="856">
                  <c:v>26-May-2022</c:v>
                </c:pt>
                <c:pt idx="857">
                  <c:v>27-May-2022</c:v>
                </c:pt>
                <c:pt idx="858">
                  <c:v>30-May-2022</c:v>
                </c:pt>
                <c:pt idx="859">
                  <c:v>31-May-2022</c:v>
                </c:pt>
                <c:pt idx="860">
                  <c:v>01-Jun-2022</c:v>
                </c:pt>
                <c:pt idx="861">
                  <c:v>02-Jun-2022</c:v>
                </c:pt>
                <c:pt idx="862">
                  <c:v>03-Jun-2022</c:v>
                </c:pt>
                <c:pt idx="863">
                  <c:v>06-Jun-2022</c:v>
                </c:pt>
                <c:pt idx="864">
                  <c:v>07-Jun-2022</c:v>
                </c:pt>
                <c:pt idx="865">
                  <c:v>08-Jun-2022</c:v>
                </c:pt>
                <c:pt idx="866">
                  <c:v>09-Jun-2022</c:v>
                </c:pt>
                <c:pt idx="867">
                  <c:v>10-Jun-2022</c:v>
                </c:pt>
                <c:pt idx="868">
                  <c:v>14-Jun-2022</c:v>
                </c:pt>
                <c:pt idx="869">
                  <c:v>15-Jun-2022</c:v>
                </c:pt>
                <c:pt idx="870">
                  <c:v>16-Jun-2022</c:v>
                </c:pt>
                <c:pt idx="871">
                  <c:v>17-Jun-2022</c:v>
                </c:pt>
                <c:pt idx="872">
                  <c:v>20-Jun-2022</c:v>
                </c:pt>
                <c:pt idx="873">
                  <c:v>21-Jun-2022</c:v>
                </c:pt>
                <c:pt idx="874">
                  <c:v>22-Jun-2022</c:v>
                </c:pt>
                <c:pt idx="875">
                  <c:v>23-Jun-2022</c:v>
                </c:pt>
                <c:pt idx="876">
                  <c:v>24-Jun-2022</c:v>
                </c:pt>
                <c:pt idx="877">
                  <c:v>27-Jun-2022</c:v>
                </c:pt>
                <c:pt idx="878">
                  <c:v>28-Jun-2022</c:v>
                </c:pt>
                <c:pt idx="879">
                  <c:v>29-Jun-2022</c:v>
                </c:pt>
                <c:pt idx="880">
                  <c:v>30-Jun-2022</c:v>
                </c:pt>
                <c:pt idx="881">
                  <c:v>01-Jul-2022</c:v>
                </c:pt>
                <c:pt idx="882">
                  <c:v>04-Jul-2022</c:v>
                </c:pt>
                <c:pt idx="883">
                  <c:v>05-Jul-2022</c:v>
                </c:pt>
                <c:pt idx="884">
                  <c:v>06-Jul-2022</c:v>
                </c:pt>
                <c:pt idx="885">
                  <c:v>07-Jul-2022</c:v>
                </c:pt>
                <c:pt idx="886">
                  <c:v>08-Jul-2022</c:v>
                </c:pt>
                <c:pt idx="887">
                  <c:v>11-Jul-2022</c:v>
                </c:pt>
                <c:pt idx="888">
                  <c:v>12-Jul-2022</c:v>
                </c:pt>
                <c:pt idx="889">
                  <c:v>13-Jul-2022</c:v>
                </c:pt>
                <c:pt idx="890">
                  <c:v>14-Jul-2022</c:v>
                </c:pt>
                <c:pt idx="891">
                  <c:v>15-Jul-2022</c:v>
                </c:pt>
                <c:pt idx="892">
                  <c:v>18-Jul-2022</c:v>
                </c:pt>
                <c:pt idx="893">
                  <c:v>19-Jul-2022</c:v>
                </c:pt>
                <c:pt idx="894">
                  <c:v>20-Jul-2022</c:v>
                </c:pt>
                <c:pt idx="895">
                  <c:v>21-Jul-2022</c:v>
                </c:pt>
                <c:pt idx="896">
                  <c:v>22-Jul-2022</c:v>
                </c:pt>
                <c:pt idx="897">
                  <c:v>25-Jul-2022</c:v>
                </c:pt>
                <c:pt idx="898">
                  <c:v>26-Jul-2022</c:v>
                </c:pt>
                <c:pt idx="899">
                  <c:v>27-Jul-2022</c:v>
                </c:pt>
                <c:pt idx="900">
                  <c:v>28-Jul-2022</c:v>
                </c:pt>
                <c:pt idx="901">
                  <c:v>29-Jul-2022</c:v>
                </c:pt>
                <c:pt idx="902">
                  <c:v>01-Aug-2022</c:v>
                </c:pt>
                <c:pt idx="903">
                  <c:v>02-Aug-2022</c:v>
                </c:pt>
                <c:pt idx="904">
                  <c:v>03-Aug-2022</c:v>
                </c:pt>
                <c:pt idx="905">
                  <c:v>04-Aug-2022</c:v>
                </c:pt>
                <c:pt idx="906">
                  <c:v>05-Aug-2022</c:v>
                </c:pt>
                <c:pt idx="907">
                  <c:v>08-Aug-2022</c:v>
                </c:pt>
                <c:pt idx="908">
                  <c:v>09-Aug-2022</c:v>
                </c:pt>
                <c:pt idx="909">
                  <c:v>10-Aug-2022</c:v>
                </c:pt>
                <c:pt idx="910">
                  <c:v>11-Aug-2022</c:v>
                </c:pt>
                <c:pt idx="911">
                  <c:v>12-Aug-2022</c:v>
                </c:pt>
                <c:pt idx="912">
                  <c:v>15-Aug-2022</c:v>
                </c:pt>
                <c:pt idx="913">
                  <c:v>16-Aug-2022</c:v>
                </c:pt>
                <c:pt idx="914">
                  <c:v>17-Aug-2022</c:v>
                </c:pt>
                <c:pt idx="915">
                  <c:v>18-Aug-2022</c:v>
                </c:pt>
                <c:pt idx="916">
                  <c:v>19-Aug-2022</c:v>
                </c:pt>
                <c:pt idx="917">
                  <c:v>22-Aug-2022</c:v>
                </c:pt>
                <c:pt idx="918">
                  <c:v>23-Aug-2022</c:v>
                </c:pt>
                <c:pt idx="919">
                  <c:v>24-Aug-2022</c:v>
                </c:pt>
                <c:pt idx="920">
                  <c:v>25-Aug-2022</c:v>
                </c:pt>
                <c:pt idx="921">
                  <c:v>26-Aug-2022</c:v>
                </c:pt>
                <c:pt idx="922">
                  <c:v>29-Aug-2022</c:v>
                </c:pt>
                <c:pt idx="923">
                  <c:v>30-Aug-2022</c:v>
                </c:pt>
                <c:pt idx="924">
                  <c:v>31-Aug-2022</c:v>
                </c:pt>
                <c:pt idx="925">
                  <c:v>01-Sep-2022</c:v>
                </c:pt>
                <c:pt idx="926">
                  <c:v>02-Sep-2022</c:v>
                </c:pt>
                <c:pt idx="927">
                  <c:v>05-Sep-2022</c:v>
                </c:pt>
                <c:pt idx="928">
                  <c:v>06-Sep-2022</c:v>
                </c:pt>
                <c:pt idx="929">
                  <c:v>07-Sep-2022</c:v>
                </c:pt>
                <c:pt idx="930">
                  <c:v>08-Sep-2022</c:v>
                </c:pt>
                <c:pt idx="931">
                  <c:v>09-Sep-2022</c:v>
                </c:pt>
                <c:pt idx="932">
                  <c:v>12-Sep-2022</c:v>
                </c:pt>
                <c:pt idx="933">
                  <c:v>13-Sep-2022</c:v>
                </c:pt>
                <c:pt idx="934">
                  <c:v>14-Sep-2022</c:v>
                </c:pt>
                <c:pt idx="935">
                  <c:v>15-Sep-2022</c:v>
                </c:pt>
                <c:pt idx="936">
                  <c:v>16-Sep-2022</c:v>
                </c:pt>
                <c:pt idx="937">
                  <c:v>19-Sep-2022</c:v>
                </c:pt>
                <c:pt idx="938">
                  <c:v>20-Sep-2022</c:v>
                </c:pt>
                <c:pt idx="939">
                  <c:v>21-Sep-2022</c:v>
                </c:pt>
                <c:pt idx="940">
                  <c:v>23-Sep-2022</c:v>
                </c:pt>
                <c:pt idx="941">
                  <c:v>26-Sep-2022</c:v>
                </c:pt>
                <c:pt idx="942">
                  <c:v>27-Sep-2022</c:v>
                </c:pt>
                <c:pt idx="943">
                  <c:v>28-Sep-2022</c:v>
                </c:pt>
                <c:pt idx="944">
                  <c:v>29-Sep-2022</c:v>
                </c:pt>
                <c:pt idx="945">
                  <c:v>30-Sep-2022</c:v>
                </c:pt>
                <c:pt idx="946">
                  <c:v>04-Oct-2022</c:v>
                </c:pt>
                <c:pt idx="947">
                  <c:v>05-Oct-2022</c:v>
                </c:pt>
                <c:pt idx="948">
                  <c:v>06-Oct-2022</c:v>
                </c:pt>
                <c:pt idx="949">
                  <c:v>07-Oct-2022</c:v>
                </c:pt>
                <c:pt idx="950">
                  <c:v>10-Oct-2022</c:v>
                </c:pt>
                <c:pt idx="951">
                  <c:v>11-Oct-2022</c:v>
                </c:pt>
                <c:pt idx="952">
                  <c:v>12-Oct-2022</c:v>
                </c:pt>
                <c:pt idx="953">
                  <c:v>13-Oct-2022</c:v>
                </c:pt>
                <c:pt idx="954">
                  <c:v>14-Oct-2022</c:v>
                </c:pt>
                <c:pt idx="955">
                  <c:v>17-Oct-2022</c:v>
                </c:pt>
                <c:pt idx="956">
                  <c:v>18-Oct-2022</c:v>
                </c:pt>
                <c:pt idx="957">
                  <c:v>19-Oct-2022</c:v>
                </c:pt>
                <c:pt idx="958">
                  <c:v>20-Oct-2022</c:v>
                </c:pt>
                <c:pt idx="959">
                  <c:v>21-Oct-2022</c:v>
                </c:pt>
                <c:pt idx="960">
                  <c:v>24-Oct-2022</c:v>
                </c:pt>
                <c:pt idx="961">
                  <c:v>25-Oct-2022</c:v>
                </c:pt>
                <c:pt idx="962">
                  <c:v>26-Oct-2022</c:v>
                </c:pt>
                <c:pt idx="963">
                  <c:v>27-Oct-2022</c:v>
                </c:pt>
                <c:pt idx="964">
                  <c:v>28-Oct-2022</c:v>
                </c:pt>
                <c:pt idx="965">
                  <c:v>31-Oct-2022</c:v>
                </c:pt>
                <c:pt idx="966">
                  <c:v>01-Nov-2022</c:v>
                </c:pt>
                <c:pt idx="967">
                  <c:v>02-Nov-2022</c:v>
                </c:pt>
                <c:pt idx="968">
                  <c:v>03-Nov-2022</c:v>
                </c:pt>
                <c:pt idx="969">
                  <c:v>04-Nov-2022</c:v>
                </c:pt>
                <c:pt idx="970">
                  <c:v>07-Nov-2022</c:v>
                </c:pt>
                <c:pt idx="971">
                  <c:v>08-Nov-2022</c:v>
                </c:pt>
                <c:pt idx="972">
                  <c:v>09-Nov-2022</c:v>
                </c:pt>
                <c:pt idx="973">
                  <c:v>10-Nov-2022</c:v>
                </c:pt>
                <c:pt idx="974">
                  <c:v>11-Nov-2022</c:v>
                </c:pt>
                <c:pt idx="975">
                  <c:v>14-Nov-2022</c:v>
                </c:pt>
                <c:pt idx="976">
                  <c:v>15-Nov-2022</c:v>
                </c:pt>
                <c:pt idx="977">
                  <c:v>16-Nov-2022</c:v>
                </c:pt>
                <c:pt idx="978">
                  <c:v>17-Nov-2022</c:v>
                </c:pt>
                <c:pt idx="979">
                  <c:v>18-Nov-2022</c:v>
                </c:pt>
                <c:pt idx="980">
                  <c:v>21-Nov-2022</c:v>
                </c:pt>
                <c:pt idx="981">
                  <c:v>22-Nov-2022</c:v>
                </c:pt>
                <c:pt idx="982">
                  <c:v>23-Nov-2022</c:v>
                </c:pt>
                <c:pt idx="983">
                  <c:v>24-Nov-2022</c:v>
                </c:pt>
                <c:pt idx="984">
                  <c:v>25-Nov-2022</c:v>
                </c:pt>
                <c:pt idx="985">
                  <c:v>28-Nov-2022</c:v>
                </c:pt>
                <c:pt idx="986">
                  <c:v>29-Nov-2022</c:v>
                </c:pt>
                <c:pt idx="987">
                  <c:v>30-Nov-2022</c:v>
                </c:pt>
                <c:pt idx="988">
                  <c:v>01-Dec-2022</c:v>
                </c:pt>
                <c:pt idx="989">
                  <c:v>02-Dec-2022</c:v>
                </c:pt>
                <c:pt idx="990">
                  <c:v>05-Dec-2022</c:v>
                </c:pt>
                <c:pt idx="991">
                  <c:v>06-Dec-2022</c:v>
                </c:pt>
                <c:pt idx="992">
                  <c:v>07-Dec-2022</c:v>
                </c:pt>
                <c:pt idx="993">
                  <c:v>08-Dec-2022</c:v>
                </c:pt>
                <c:pt idx="994">
                  <c:v>09-Dec-2022</c:v>
                </c:pt>
                <c:pt idx="995">
                  <c:v>12-Dec-2022</c:v>
                </c:pt>
                <c:pt idx="996">
                  <c:v>13-Dec-2022</c:v>
                </c:pt>
                <c:pt idx="997">
                  <c:v>14-Dec-2022</c:v>
                </c:pt>
                <c:pt idx="998">
                  <c:v>15-Dec-2022</c:v>
                </c:pt>
                <c:pt idx="999">
                  <c:v>16-Dec-2022</c:v>
                </c:pt>
                <c:pt idx="1000">
                  <c:v>19-Dec-2022</c:v>
                </c:pt>
                <c:pt idx="1001">
                  <c:v>20-Dec-2022</c:v>
                </c:pt>
                <c:pt idx="1002">
                  <c:v>21-Dec-2022</c:v>
                </c:pt>
                <c:pt idx="1003">
                  <c:v>22-Dec-2022</c:v>
                </c:pt>
                <c:pt idx="1004">
                  <c:v>23-Dec-2022</c:v>
                </c:pt>
                <c:pt idx="1005">
                  <c:v>28-Dec-2022</c:v>
                </c:pt>
                <c:pt idx="1006">
                  <c:v>29-Dec-2022</c:v>
                </c:pt>
                <c:pt idx="1007">
                  <c:v>30-Dec-2022</c:v>
                </c:pt>
                <c:pt idx="1008">
                  <c:v>03-Jan-2023</c:v>
                </c:pt>
                <c:pt idx="1009">
                  <c:v>04-Jan-2023</c:v>
                </c:pt>
                <c:pt idx="1010">
                  <c:v>05-Jan-2023</c:v>
                </c:pt>
                <c:pt idx="1011">
                  <c:v>06-Jan-2023</c:v>
                </c:pt>
                <c:pt idx="1012">
                  <c:v>09-Jan-2023</c:v>
                </c:pt>
                <c:pt idx="1013">
                  <c:v>10-Jan-2023</c:v>
                </c:pt>
                <c:pt idx="1014">
                  <c:v>11-Jan-2023</c:v>
                </c:pt>
                <c:pt idx="1015">
                  <c:v>12-Jan-2023</c:v>
                </c:pt>
                <c:pt idx="1016">
                  <c:v>13-Jan-2023</c:v>
                </c:pt>
                <c:pt idx="1017">
                  <c:v>16-Jan-2023</c:v>
                </c:pt>
                <c:pt idx="1018">
                  <c:v>17-Jan-2023</c:v>
                </c:pt>
                <c:pt idx="1019">
                  <c:v>18-Jan-2023</c:v>
                </c:pt>
                <c:pt idx="1020">
                  <c:v>19-Jan-2023</c:v>
                </c:pt>
                <c:pt idx="1021">
                  <c:v>20-Jan-2023</c:v>
                </c:pt>
                <c:pt idx="1022">
                  <c:v>23-Jan-2023</c:v>
                </c:pt>
                <c:pt idx="1023">
                  <c:v>24-Jan-2023</c:v>
                </c:pt>
                <c:pt idx="1024">
                  <c:v>25-Jan-2023</c:v>
                </c:pt>
                <c:pt idx="1025">
                  <c:v>27-Jan-2023</c:v>
                </c:pt>
                <c:pt idx="1026">
                  <c:v>30-Jan-2023</c:v>
                </c:pt>
                <c:pt idx="1027">
                  <c:v>31-Jan-2023</c:v>
                </c:pt>
                <c:pt idx="1028">
                  <c:v>01-Feb-2023</c:v>
                </c:pt>
                <c:pt idx="1029">
                  <c:v>02-Feb-2023</c:v>
                </c:pt>
                <c:pt idx="1030">
                  <c:v>03-Feb-2023</c:v>
                </c:pt>
                <c:pt idx="1031">
                  <c:v>06-Feb-2023</c:v>
                </c:pt>
                <c:pt idx="1032">
                  <c:v>07-Feb-2023</c:v>
                </c:pt>
                <c:pt idx="1033">
                  <c:v>08-Feb-2023</c:v>
                </c:pt>
                <c:pt idx="1034">
                  <c:v>09-Feb-2023</c:v>
                </c:pt>
                <c:pt idx="1035">
                  <c:v>10-Feb-2023</c:v>
                </c:pt>
                <c:pt idx="1036">
                  <c:v>13-Feb-2023</c:v>
                </c:pt>
                <c:pt idx="1037">
                  <c:v>14-Feb-2023</c:v>
                </c:pt>
                <c:pt idx="1038">
                  <c:v>15-Feb-2023</c:v>
                </c:pt>
                <c:pt idx="1039">
                  <c:v>16-Feb-2023</c:v>
                </c:pt>
                <c:pt idx="1040">
                  <c:v>17-Feb-2023</c:v>
                </c:pt>
                <c:pt idx="1041">
                  <c:v>20-Feb-2023</c:v>
                </c:pt>
                <c:pt idx="1042">
                  <c:v>21-Feb-2023</c:v>
                </c:pt>
                <c:pt idx="1043">
                  <c:v>22-Feb-2023</c:v>
                </c:pt>
                <c:pt idx="1044">
                  <c:v>23-Feb-2023</c:v>
                </c:pt>
                <c:pt idx="1045">
                  <c:v>24-Feb-2023</c:v>
                </c:pt>
                <c:pt idx="1046">
                  <c:v>27-Feb-2023</c:v>
                </c:pt>
                <c:pt idx="1047">
                  <c:v>28-Feb-2023</c:v>
                </c:pt>
                <c:pt idx="1048">
                  <c:v>01-Mar-2023</c:v>
                </c:pt>
                <c:pt idx="1049">
                  <c:v>02-Mar-2023</c:v>
                </c:pt>
                <c:pt idx="1050">
                  <c:v>03-Mar-2023</c:v>
                </c:pt>
                <c:pt idx="1051">
                  <c:v>06-Mar-2023</c:v>
                </c:pt>
                <c:pt idx="1052">
                  <c:v>07-Mar-2023</c:v>
                </c:pt>
                <c:pt idx="1053">
                  <c:v>08-Mar-2023</c:v>
                </c:pt>
                <c:pt idx="1054">
                  <c:v>09-Mar-2023</c:v>
                </c:pt>
                <c:pt idx="1055">
                  <c:v>10-Mar-2023</c:v>
                </c:pt>
                <c:pt idx="1056">
                  <c:v>13-Mar-2023</c:v>
                </c:pt>
                <c:pt idx="1057">
                  <c:v>14-Mar-2023</c:v>
                </c:pt>
                <c:pt idx="1058">
                  <c:v>15-Mar-2023</c:v>
                </c:pt>
                <c:pt idx="1059">
                  <c:v>16-Mar-2023</c:v>
                </c:pt>
                <c:pt idx="1060">
                  <c:v>17-Mar-2023</c:v>
                </c:pt>
                <c:pt idx="1061">
                  <c:v>20-Mar-2023</c:v>
                </c:pt>
                <c:pt idx="1062">
                  <c:v>21-Mar-2023</c:v>
                </c:pt>
                <c:pt idx="1063">
                  <c:v>22-Mar-2023</c:v>
                </c:pt>
                <c:pt idx="1064">
                  <c:v>23-Mar-2023</c:v>
                </c:pt>
                <c:pt idx="1065">
                  <c:v>24-Mar-2023</c:v>
                </c:pt>
                <c:pt idx="1066">
                  <c:v>27-Mar-2023</c:v>
                </c:pt>
                <c:pt idx="1067">
                  <c:v>28-Mar-2023</c:v>
                </c:pt>
                <c:pt idx="1068">
                  <c:v>29-Mar-2023</c:v>
                </c:pt>
                <c:pt idx="1069">
                  <c:v>30-Mar-2023</c:v>
                </c:pt>
                <c:pt idx="1070">
                  <c:v>31-Mar-2023</c:v>
                </c:pt>
                <c:pt idx="1071">
                  <c:v>03-Apr-2023</c:v>
                </c:pt>
                <c:pt idx="1072">
                  <c:v>04-Apr-2023</c:v>
                </c:pt>
                <c:pt idx="1073">
                  <c:v>05-Apr-2023</c:v>
                </c:pt>
                <c:pt idx="1074">
                  <c:v>06-Apr-2023</c:v>
                </c:pt>
                <c:pt idx="1075">
                  <c:v>11-Apr-2023</c:v>
                </c:pt>
                <c:pt idx="1076">
                  <c:v>12-Apr-2023</c:v>
                </c:pt>
                <c:pt idx="1077">
                  <c:v>13-Apr-2023</c:v>
                </c:pt>
                <c:pt idx="1078">
                  <c:v>14-Apr-2023</c:v>
                </c:pt>
                <c:pt idx="1079">
                  <c:v>17-Apr-2023</c:v>
                </c:pt>
                <c:pt idx="1080">
                  <c:v>18-Apr-2023</c:v>
                </c:pt>
                <c:pt idx="1081">
                  <c:v>19-Apr-2023</c:v>
                </c:pt>
                <c:pt idx="1082">
                  <c:v>20-Apr-2023</c:v>
                </c:pt>
                <c:pt idx="1083">
                  <c:v>21-Apr-2023</c:v>
                </c:pt>
                <c:pt idx="1084">
                  <c:v>24-Apr-2023</c:v>
                </c:pt>
                <c:pt idx="1085">
                  <c:v>26-Apr-2023</c:v>
                </c:pt>
                <c:pt idx="1086">
                  <c:v>27-Apr-2023</c:v>
                </c:pt>
                <c:pt idx="1087">
                  <c:v>28-Apr-2023</c:v>
                </c:pt>
                <c:pt idx="1088">
                  <c:v>01-May-2023</c:v>
                </c:pt>
                <c:pt idx="1089">
                  <c:v>02-May-2023</c:v>
                </c:pt>
                <c:pt idx="1090">
                  <c:v>03-May-2023</c:v>
                </c:pt>
                <c:pt idx="1091">
                  <c:v>04-May-2023</c:v>
                </c:pt>
                <c:pt idx="1092">
                  <c:v>05-May-2023</c:v>
                </c:pt>
                <c:pt idx="1093">
                  <c:v>08-May-2023</c:v>
                </c:pt>
                <c:pt idx="1094">
                  <c:v>09-May-2023</c:v>
                </c:pt>
                <c:pt idx="1095">
                  <c:v>10-May-2023</c:v>
                </c:pt>
                <c:pt idx="1096">
                  <c:v>11-May-2023</c:v>
                </c:pt>
                <c:pt idx="1097">
                  <c:v>12-May-2023</c:v>
                </c:pt>
                <c:pt idx="1098">
                  <c:v>15-May-2023</c:v>
                </c:pt>
                <c:pt idx="1099">
                  <c:v>16-May-2023</c:v>
                </c:pt>
                <c:pt idx="1100">
                  <c:v>17-May-2023</c:v>
                </c:pt>
                <c:pt idx="1101">
                  <c:v>18-May-2023</c:v>
                </c:pt>
                <c:pt idx="1102">
                  <c:v>19-May-2023</c:v>
                </c:pt>
                <c:pt idx="1103">
                  <c:v>22-May-2023</c:v>
                </c:pt>
                <c:pt idx="1104">
                  <c:v>23-May-2023</c:v>
                </c:pt>
                <c:pt idx="1105">
                  <c:v>24-May-2023</c:v>
                </c:pt>
                <c:pt idx="1106">
                  <c:v>25-May-2023</c:v>
                </c:pt>
                <c:pt idx="1107">
                  <c:v>26-May-2023</c:v>
                </c:pt>
                <c:pt idx="1108">
                  <c:v>29-May-2023</c:v>
                </c:pt>
                <c:pt idx="1109">
                  <c:v>30-May-2023</c:v>
                </c:pt>
                <c:pt idx="1110">
                  <c:v>31-May-2023</c:v>
                </c:pt>
                <c:pt idx="1111">
                  <c:v>01-Jun-2023</c:v>
                </c:pt>
                <c:pt idx="1112">
                  <c:v>02-Jun-2023</c:v>
                </c:pt>
                <c:pt idx="1113">
                  <c:v>05-Jun-2023</c:v>
                </c:pt>
                <c:pt idx="1114">
                  <c:v>06-Jun-2023</c:v>
                </c:pt>
                <c:pt idx="1115">
                  <c:v>07-Jun-2023</c:v>
                </c:pt>
                <c:pt idx="1116">
                  <c:v>08-Jun-2023</c:v>
                </c:pt>
                <c:pt idx="1117">
                  <c:v>09-Jun-2023</c:v>
                </c:pt>
                <c:pt idx="1118">
                  <c:v>13-Jun-2023</c:v>
                </c:pt>
                <c:pt idx="1119">
                  <c:v>14-Jun-2023</c:v>
                </c:pt>
                <c:pt idx="1120">
                  <c:v>15-Jun-2023</c:v>
                </c:pt>
                <c:pt idx="1121">
                  <c:v>16-Jun-2023</c:v>
                </c:pt>
                <c:pt idx="1122">
                  <c:v>19-Jun-2023</c:v>
                </c:pt>
                <c:pt idx="1123">
                  <c:v>20-Jun-2023</c:v>
                </c:pt>
                <c:pt idx="1124">
                  <c:v>21-Jun-2023</c:v>
                </c:pt>
                <c:pt idx="1125">
                  <c:v>22-Jun-2023</c:v>
                </c:pt>
                <c:pt idx="1126">
                  <c:v>23-Jun-2023</c:v>
                </c:pt>
                <c:pt idx="1127">
                  <c:v>26-Jun-2023</c:v>
                </c:pt>
                <c:pt idx="1128">
                  <c:v>27-Jun-2023</c:v>
                </c:pt>
                <c:pt idx="1129">
                  <c:v>28-Jun-2023</c:v>
                </c:pt>
                <c:pt idx="1130">
                  <c:v>29-Jun-2023</c:v>
                </c:pt>
                <c:pt idx="1131">
                  <c:v>30-Jun-2023</c:v>
                </c:pt>
                <c:pt idx="1132">
                  <c:v>03-Jul-2023</c:v>
                </c:pt>
                <c:pt idx="1133">
                  <c:v>04-Jul-2023</c:v>
                </c:pt>
                <c:pt idx="1134">
                  <c:v>05-Jul-2023</c:v>
                </c:pt>
                <c:pt idx="1135">
                  <c:v>06-Jul-2023</c:v>
                </c:pt>
                <c:pt idx="1136">
                  <c:v>07-Jul-2023</c:v>
                </c:pt>
                <c:pt idx="1137">
                  <c:v>10-Jul-2023</c:v>
                </c:pt>
                <c:pt idx="1138">
                  <c:v>11-Jul-2023</c:v>
                </c:pt>
                <c:pt idx="1139">
                  <c:v>12-Jul-2023</c:v>
                </c:pt>
                <c:pt idx="1140">
                  <c:v>13-Jul-2023</c:v>
                </c:pt>
                <c:pt idx="1141">
                  <c:v>14-Jul-2023</c:v>
                </c:pt>
                <c:pt idx="1142">
                  <c:v>17-Jul-2023</c:v>
                </c:pt>
                <c:pt idx="1143">
                  <c:v>18-Jul-2023</c:v>
                </c:pt>
                <c:pt idx="1144">
                  <c:v>19-Jul-2023</c:v>
                </c:pt>
                <c:pt idx="1145">
                  <c:v>20-Jul-2023</c:v>
                </c:pt>
                <c:pt idx="1146">
                  <c:v>21-Jul-2023</c:v>
                </c:pt>
                <c:pt idx="1147">
                  <c:v>24-Jul-2023</c:v>
                </c:pt>
                <c:pt idx="1148">
                  <c:v>25-Jul-2023</c:v>
                </c:pt>
                <c:pt idx="1149">
                  <c:v>26-Jul-2023</c:v>
                </c:pt>
                <c:pt idx="1150">
                  <c:v>27-Jul-2023</c:v>
                </c:pt>
                <c:pt idx="1151">
                  <c:v>28-Jul-2023</c:v>
                </c:pt>
                <c:pt idx="1152">
                  <c:v>31-Jul-2023</c:v>
                </c:pt>
                <c:pt idx="1153">
                  <c:v>01-Aug-2023</c:v>
                </c:pt>
                <c:pt idx="1154">
                  <c:v>02-Aug-2023</c:v>
                </c:pt>
                <c:pt idx="1155">
                  <c:v>03-Aug-2023</c:v>
                </c:pt>
                <c:pt idx="1156">
                  <c:v>04-Aug-2023</c:v>
                </c:pt>
                <c:pt idx="1157">
                  <c:v>07-Aug-2023</c:v>
                </c:pt>
                <c:pt idx="1158">
                  <c:v>08-Aug-2023</c:v>
                </c:pt>
                <c:pt idx="1159">
                  <c:v>09-Aug-2023</c:v>
                </c:pt>
                <c:pt idx="1160">
                  <c:v>10-Aug-2023</c:v>
                </c:pt>
                <c:pt idx="1161">
                  <c:v>11-Aug-2023</c:v>
                </c:pt>
                <c:pt idx="1162">
                  <c:v>14-Aug-2023</c:v>
                </c:pt>
                <c:pt idx="1163">
                  <c:v>15-Aug-2023</c:v>
                </c:pt>
                <c:pt idx="1164">
                  <c:v>16-Aug-2023</c:v>
                </c:pt>
                <c:pt idx="1165">
                  <c:v>17-Aug-2023</c:v>
                </c:pt>
                <c:pt idx="1166">
                  <c:v>18-Aug-2023</c:v>
                </c:pt>
                <c:pt idx="1167">
                  <c:v>21-Aug-2023</c:v>
                </c:pt>
                <c:pt idx="1168">
                  <c:v>22-Aug-2023</c:v>
                </c:pt>
                <c:pt idx="1169">
                  <c:v>23-Aug-2023</c:v>
                </c:pt>
                <c:pt idx="1170">
                  <c:v>24-Aug-2023</c:v>
                </c:pt>
                <c:pt idx="1171">
                  <c:v>25-Aug-2023</c:v>
                </c:pt>
                <c:pt idx="1172">
                  <c:v>28-Aug-2023</c:v>
                </c:pt>
                <c:pt idx="1173">
                  <c:v>29-Aug-2023</c:v>
                </c:pt>
                <c:pt idx="1174">
                  <c:v>30-Aug-2023</c:v>
                </c:pt>
                <c:pt idx="1175">
                  <c:v>31-Aug-2023</c:v>
                </c:pt>
                <c:pt idx="1176">
                  <c:v>01-Sep-2023</c:v>
                </c:pt>
                <c:pt idx="1177">
                  <c:v>04-Sep-2023</c:v>
                </c:pt>
                <c:pt idx="1178">
                  <c:v>05-Sep-2023</c:v>
                </c:pt>
                <c:pt idx="1179">
                  <c:v>06-Sep-2023</c:v>
                </c:pt>
                <c:pt idx="1180">
                  <c:v>07-Sep-2023</c:v>
                </c:pt>
                <c:pt idx="1181">
                  <c:v>08-Sep-2023</c:v>
                </c:pt>
                <c:pt idx="1182">
                  <c:v>11-Sep-2023</c:v>
                </c:pt>
                <c:pt idx="1183">
                  <c:v>12-Sep-2023</c:v>
                </c:pt>
                <c:pt idx="1184">
                  <c:v>13-Sep-2023</c:v>
                </c:pt>
                <c:pt idx="1185">
                  <c:v>14-Sep-2023</c:v>
                </c:pt>
                <c:pt idx="1186">
                  <c:v>15-Sep-2023</c:v>
                </c:pt>
                <c:pt idx="1187">
                  <c:v>18-Sep-2023</c:v>
                </c:pt>
                <c:pt idx="1188">
                  <c:v>19-Sep-2023</c:v>
                </c:pt>
                <c:pt idx="1189">
                  <c:v>20-Sep-2023</c:v>
                </c:pt>
                <c:pt idx="1190">
                  <c:v>21-Sep-2023</c:v>
                </c:pt>
                <c:pt idx="1191">
                  <c:v>22-Sep-2023</c:v>
                </c:pt>
                <c:pt idx="1192">
                  <c:v>25-Sep-2023</c:v>
                </c:pt>
                <c:pt idx="1193">
                  <c:v>26-Sep-2023</c:v>
                </c:pt>
                <c:pt idx="1194">
                  <c:v>27-Sep-2023</c:v>
                </c:pt>
                <c:pt idx="1195">
                  <c:v>28-Sep-2023</c:v>
                </c:pt>
                <c:pt idx="1196">
                  <c:v>29-Sep-2023</c:v>
                </c:pt>
                <c:pt idx="1197">
                  <c:v>03-Oct-2023</c:v>
                </c:pt>
                <c:pt idx="1198">
                  <c:v>04-Oct-2023</c:v>
                </c:pt>
                <c:pt idx="1199">
                  <c:v>05-Oct-2023</c:v>
                </c:pt>
                <c:pt idx="1200">
                  <c:v>06-Oct-2023</c:v>
                </c:pt>
                <c:pt idx="1201">
                  <c:v>09-Oct-2023</c:v>
                </c:pt>
                <c:pt idx="1202">
                  <c:v>10-Oct-2023</c:v>
                </c:pt>
                <c:pt idx="1203">
                  <c:v>11-Oct-2023</c:v>
                </c:pt>
                <c:pt idx="1204">
                  <c:v>12-Oct-2023</c:v>
                </c:pt>
                <c:pt idx="1205">
                  <c:v>13-Oct-2023</c:v>
                </c:pt>
                <c:pt idx="1206">
                  <c:v>16-Oct-2023</c:v>
                </c:pt>
                <c:pt idx="1207">
                  <c:v>17-Oct-2023</c:v>
                </c:pt>
                <c:pt idx="1208">
                  <c:v>18-Oct-2023</c:v>
                </c:pt>
                <c:pt idx="1209">
                  <c:v>19-Oct-2023</c:v>
                </c:pt>
                <c:pt idx="1210">
                  <c:v>20-Oct-2023</c:v>
                </c:pt>
                <c:pt idx="1211">
                  <c:v>23-Oct-2023</c:v>
                </c:pt>
                <c:pt idx="1212">
                  <c:v>24-Oct-2023</c:v>
                </c:pt>
                <c:pt idx="1213">
                  <c:v>25-Oct-2023</c:v>
                </c:pt>
                <c:pt idx="1214">
                  <c:v>26-Oct-2023</c:v>
                </c:pt>
                <c:pt idx="1215">
                  <c:v>27-Oct-2023</c:v>
                </c:pt>
                <c:pt idx="1216">
                  <c:v>30-Oct-2023</c:v>
                </c:pt>
                <c:pt idx="1217">
                  <c:v>31-Oct-2023</c:v>
                </c:pt>
                <c:pt idx="1218">
                  <c:v>01-Nov-2023</c:v>
                </c:pt>
                <c:pt idx="1219">
                  <c:v>02-Nov-2023</c:v>
                </c:pt>
                <c:pt idx="1220">
                  <c:v>03-Nov-2023</c:v>
                </c:pt>
                <c:pt idx="1221">
                  <c:v>06-Nov-2023</c:v>
                </c:pt>
                <c:pt idx="1222">
                  <c:v>07-Nov-2023</c:v>
                </c:pt>
                <c:pt idx="1223">
                  <c:v>08-Nov-2023</c:v>
                </c:pt>
                <c:pt idx="1224">
                  <c:v>09-Nov-2023</c:v>
                </c:pt>
                <c:pt idx="1225">
                  <c:v>10-Nov-2023</c:v>
                </c:pt>
                <c:pt idx="1226">
                  <c:v>13-Nov-2023</c:v>
                </c:pt>
                <c:pt idx="1227">
                  <c:v>14-Nov-2023</c:v>
                </c:pt>
                <c:pt idx="1228">
                  <c:v>15-Nov-2023</c:v>
                </c:pt>
                <c:pt idx="1229">
                  <c:v>16-Nov-2023</c:v>
                </c:pt>
                <c:pt idx="1230">
                  <c:v>17-Nov-2023</c:v>
                </c:pt>
                <c:pt idx="1231">
                  <c:v>20-Nov-2023</c:v>
                </c:pt>
                <c:pt idx="1232">
                  <c:v>21-Nov-2023</c:v>
                </c:pt>
                <c:pt idx="1233">
                  <c:v>22-Nov-2023</c:v>
                </c:pt>
                <c:pt idx="1234">
                  <c:v>23-Nov-2023</c:v>
                </c:pt>
                <c:pt idx="1235">
                  <c:v>24-Nov-2023</c:v>
                </c:pt>
                <c:pt idx="1236">
                  <c:v>27-Nov-2023</c:v>
                </c:pt>
                <c:pt idx="1237">
                  <c:v>28-Nov-2023</c:v>
                </c:pt>
                <c:pt idx="1238">
                  <c:v>29-Nov-2023</c:v>
                </c:pt>
                <c:pt idx="1239">
                  <c:v>30-Nov-2023</c:v>
                </c:pt>
                <c:pt idx="1240">
                  <c:v>01-Dec-2023</c:v>
                </c:pt>
                <c:pt idx="1241">
                  <c:v>04-Dec-2023</c:v>
                </c:pt>
                <c:pt idx="1242">
                  <c:v>05-Dec-2023</c:v>
                </c:pt>
                <c:pt idx="1243">
                  <c:v>06-Dec-2023</c:v>
                </c:pt>
                <c:pt idx="1244">
                  <c:v>07-Dec-2023</c:v>
                </c:pt>
                <c:pt idx="1245">
                  <c:v>08-Dec-2023</c:v>
                </c:pt>
                <c:pt idx="1246">
                  <c:v>11-Dec-2023</c:v>
                </c:pt>
                <c:pt idx="1247">
                  <c:v>12-Dec-2023</c:v>
                </c:pt>
                <c:pt idx="1248">
                  <c:v>13-Dec-2023</c:v>
                </c:pt>
                <c:pt idx="1249">
                  <c:v>14-Dec-2023</c:v>
                </c:pt>
                <c:pt idx="1250">
                  <c:v>15-Dec-2023</c:v>
                </c:pt>
                <c:pt idx="1251">
                  <c:v>18-Dec-2023</c:v>
                </c:pt>
                <c:pt idx="1252">
                  <c:v>19-Dec-2023</c:v>
                </c:pt>
                <c:pt idx="1253">
                  <c:v>20-Dec-2023</c:v>
                </c:pt>
                <c:pt idx="1254">
                  <c:v>21-Dec-2023</c:v>
                </c:pt>
                <c:pt idx="1255">
                  <c:v>22-Dec-2023</c:v>
                </c:pt>
                <c:pt idx="1256">
                  <c:v>27-Dec-2023</c:v>
                </c:pt>
                <c:pt idx="1257">
                  <c:v>28-Dec-2023</c:v>
                </c:pt>
                <c:pt idx="1258">
                  <c:v>29-Dec-2023</c:v>
                </c:pt>
                <c:pt idx="1259">
                  <c:v>02-Jan-2024</c:v>
                </c:pt>
                <c:pt idx="1260">
                  <c:v>03-Jan-2024</c:v>
                </c:pt>
                <c:pt idx="1261">
                  <c:v>04-Jan-2024</c:v>
                </c:pt>
                <c:pt idx="1262">
                  <c:v>05-Jan-2024</c:v>
                </c:pt>
                <c:pt idx="1263">
                  <c:v>08-Jan-2024</c:v>
                </c:pt>
                <c:pt idx="1264">
                  <c:v>09-Jan-2024</c:v>
                </c:pt>
                <c:pt idx="1265">
                  <c:v>10-Jan-2024</c:v>
                </c:pt>
                <c:pt idx="1266">
                  <c:v>11-Jan-2024</c:v>
                </c:pt>
                <c:pt idx="1267">
                  <c:v>12-Jan-2024</c:v>
                </c:pt>
                <c:pt idx="1268">
                  <c:v>15-Jan-2024</c:v>
                </c:pt>
                <c:pt idx="1269">
                  <c:v>16-Jan-2024</c:v>
                </c:pt>
                <c:pt idx="1270">
                  <c:v>17-Jan-2024</c:v>
                </c:pt>
                <c:pt idx="1271">
                  <c:v>18-Jan-2024</c:v>
                </c:pt>
                <c:pt idx="1272">
                  <c:v>19-Jan-2024</c:v>
                </c:pt>
                <c:pt idx="1273">
                  <c:v>22-Jan-2024</c:v>
                </c:pt>
                <c:pt idx="1274">
                  <c:v>23-Jan-2024</c:v>
                </c:pt>
                <c:pt idx="1275">
                  <c:v>24-Jan-2024</c:v>
                </c:pt>
                <c:pt idx="1276">
                  <c:v>25-Jan-2024</c:v>
                </c:pt>
                <c:pt idx="1277">
                  <c:v>29-Jan-2024</c:v>
                </c:pt>
                <c:pt idx="1278">
                  <c:v>30-Jan-2024</c:v>
                </c:pt>
                <c:pt idx="1279">
                  <c:v>31-Jan-2024</c:v>
                </c:pt>
                <c:pt idx="1280">
                  <c:v>01-Feb-2024</c:v>
                </c:pt>
                <c:pt idx="1281">
                  <c:v>02-Feb-2024</c:v>
                </c:pt>
                <c:pt idx="1282">
                  <c:v>05-Feb-2024</c:v>
                </c:pt>
                <c:pt idx="1283">
                  <c:v>06-Feb-2024</c:v>
                </c:pt>
                <c:pt idx="1284">
                  <c:v>07-Feb-2024</c:v>
                </c:pt>
                <c:pt idx="1285">
                  <c:v>08-Feb-2024</c:v>
                </c:pt>
                <c:pt idx="1286">
                  <c:v>09-Feb-2024</c:v>
                </c:pt>
                <c:pt idx="1287">
                  <c:v>12-Feb-2024</c:v>
                </c:pt>
                <c:pt idx="1288">
                  <c:v>13-Feb-2024</c:v>
                </c:pt>
                <c:pt idx="1289">
                  <c:v>14-Feb-2024</c:v>
                </c:pt>
                <c:pt idx="1290">
                  <c:v>15-Feb-2024</c:v>
                </c:pt>
                <c:pt idx="1291">
                  <c:v>16-Feb-2024</c:v>
                </c:pt>
                <c:pt idx="1292">
                  <c:v>19-Feb-2024</c:v>
                </c:pt>
                <c:pt idx="1293">
                  <c:v>20-Feb-2024</c:v>
                </c:pt>
                <c:pt idx="1294">
                  <c:v>21-Feb-2024</c:v>
                </c:pt>
                <c:pt idx="1295">
                  <c:v>22-Feb-2024</c:v>
                </c:pt>
                <c:pt idx="1296">
                  <c:v>23-Feb-2024</c:v>
                </c:pt>
                <c:pt idx="1297">
                  <c:v>26-Feb-2024</c:v>
                </c:pt>
                <c:pt idx="1298">
                  <c:v>27-Feb-2024</c:v>
                </c:pt>
                <c:pt idx="1299">
                  <c:v>28-Feb-2024</c:v>
                </c:pt>
                <c:pt idx="1300">
                  <c:v>29-Feb-2024</c:v>
                </c:pt>
                <c:pt idx="1301">
                  <c:v>01-Mar-2024</c:v>
                </c:pt>
                <c:pt idx="1302">
                  <c:v>04-Mar-2024</c:v>
                </c:pt>
                <c:pt idx="1303">
                  <c:v>05-Mar-2024</c:v>
                </c:pt>
                <c:pt idx="1304">
                  <c:v>06-Mar-2024</c:v>
                </c:pt>
                <c:pt idx="1305">
                  <c:v>07-Mar-2024</c:v>
                </c:pt>
                <c:pt idx="1306">
                  <c:v>08-Mar-2024</c:v>
                </c:pt>
                <c:pt idx="1307">
                  <c:v>11-Mar-2024</c:v>
                </c:pt>
                <c:pt idx="1308">
                  <c:v>12-Mar-2024</c:v>
                </c:pt>
                <c:pt idx="1309">
                  <c:v>13-Mar-2024</c:v>
                </c:pt>
                <c:pt idx="1310">
                  <c:v>14-Mar-2024</c:v>
                </c:pt>
                <c:pt idx="1311">
                  <c:v>15-Mar-2024</c:v>
                </c:pt>
                <c:pt idx="1312">
                  <c:v>18-Mar-2024</c:v>
                </c:pt>
                <c:pt idx="1313">
                  <c:v>19-Mar-2024</c:v>
                </c:pt>
                <c:pt idx="1314">
                  <c:v>20-Mar-2024</c:v>
                </c:pt>
                <c:pt idx="1315">
                  <c:v>21-Mar-2024</c:v>
                </c:pt>
                <c:pt idx="1316">
                  <c:v>22-Mar-2024</c:v>
                </c:pt>
                <c:pt idx="1317">
                  <c:v>25-Mar-2024</c:v>
                </c:pt>
                <c:pt idx="1318">
                  <c:v>26-Mar-2024</c:v>
                </c:pt>
                <c:pt idx="1319">
                  <c:v>27-Mar-2024</c:v>
                </c:pt>
                <c:pt idx="1320">
                  <c:v>28-Mar-2024</c:v>
                </c:pt>
                <c:pt idx="1321">
                  <c:v>02-Apr-2024</c:v>
                </c:pt>
                <c:pt idx="1322">
                  <c:v>03-Apr-2024</c:v>
                </c:pt>
                <c:pt idx="1323">
                  <c:v>04-Apr-2024</c:v>
                </c:pt>
                <c:pt idx="1324">
                  <c:v>05-Apr-2024</c:v>
                </c:pt>
                <c:pt idx="1325">
                  <c:v>08-Apr-2024</c:v>
                </c:pt>
                <c:pt idx="1326">
                  <c:v>09-Apr-2024</c:v>
                </c:pt>
                <c:pt idx="1327">
                  <c:v>10-Apr-2024</c:v>
                </c:pt>
                <c:pt idx="1328">
                  <c:v>11-Apr-2024</c:v>
                </c:pt>
                <c:pt idx="1329">
                  <c:v>12-Apr-2024</c:v>
                </c:pt>
                <c:pt idx="1330">
                  <c:v>15-Apr-2024</c:v>
                </c:pt>
                <c:pt idx="1331">
                  <c:v>16-Apr-2024</c:v>
                </c:pt>
                <c:pt idx="1332">
                  <c:v>17-Apr-2024</c:v>
                </c:pt>
                <c:pt idx="1333">
                  <c:v>18-Apr-2024</c:v>
                </c:pt>
                <c:pt idx="1334">
                  <c:v>19-Apr-2024</c:v>
                </c:pt>
                <c:pt idx="1335">
                  <c:v>22-Apr-2024</c:v>
                </c:pt>
                <c:pt idx="1336">
                  <c:v>23-Apr-2024</c:v>
                </c:pt>
                <c:pt idx="1337">
                  <c:v>24-Apr-2024</c:v>
                </c:pt>
                <c:pt idx="1338">
                  <c:v>26-Apr-2024</c:v>
                </c:pt>
                <c:pt idx="1339">
                  <c:v>29-Apr-2024</c:v>
                </c:pt>
                <c:pt idx="1340">
                  <c:v>30-Apr-2024</c:v>
                </c:pt>
                <c:pt idx="1341">
                  <c:v>01-May-2024</c:v>
                </c:pt>
                <c:pt idx="1342">
                  <c:v>02-May-2024</c:v>
                </c:pt>
                <c:pt idx="1343">
                  <c:v>03-May-2024</c:v>
                </c:pt>
                <c:pt idx="1344">
                  <c:v>06-May-2024</c:v>
                </c:pt>
                <c:pt idx="1345">
                  <c:v>07-May-2024</c:v>
                </c:pt>
                <c:pt idx="1346">
                  <c:v>08-May-2024</c:v>
                </c:pt>
                <c:pt idx="1347">
                  <c:v>09-May-2024</c:v>
                </c:pt>
                <c:pt idx="1348">
                  <c:v>10-May-2024</c:v>
                </c:pt>
                <c:pt idx="1349">
                  <c:v>13-May-2024</c:v>
                </c:pt>
                <c:pt idx="1350">
                  <c:v>14-May-2024</c:v>
                </c:pt>
                <c:pt idx="1351">
                  <c:v>15-May-2024</c:v>
                </c:pt>
                <c:pt idx="1352">
                  <c:v>16-May-2024</c:v>
                </c:pt>
                <c:pt idx="1353">
                  <c:v>17-May-2024</c:v>
                </c:pt>
                <c:pt idx="1354">
                  <c:v>20-May-2024</c:v>
                </c:pt>
                <c:pt idx="1355">
                  <c:v>21-May-2024</c:v>
                </c:pt>
                <c:pt idx="1356">
                  <c:v>22-May-2024</c:v>
                </c:pt>
                <c:pt idx="1357">
                  <c:v>23-May-2024</c:v>
                </c:pt>
                <c:pt idx="1358">
                  <c:v>24-May-2024</c:v>
                </c:pt>
                <c:pt idx="1359">
                  <c:v>27-May-2024</c:v>
                </c:pt>
                <c:pt idx="1360">
                  <c:v>28-May-2024</c:v>
                </c:pt>
                <c:pt idx="1361">
                  <c:v>29-May-2024</c:v>
                </c:pt>
                <c:pt idx="1362">
                  <c:v>30-May-2024</c:v>
                </c:pt>
                <c:pt idx="1363">
                  <c:v>31-May-2024</c:v>
                </c:pt>
                <c:pt idx="1364">
                  <c:v>03-Jun-2024</c:v>
                </c:pt>
                <c:pt idx="1365">
                  <c:v>04-Jun-2024</c:v>
                </c:pt>
                <c:pt idx="1366">
                  <c:v>05-Jun-2024</c:v>
                </c:pt>
                <c:pt idx="1367">
                  <c:v>06-Jun-2024</c:v>
                </c:pt>
                <c:pt idx="1368">
                  <c:v>07-Jun-2024</c:v>
                </c:pt>
                <c:pt idx="1369">
                  <c:v>11-Jun-2024</c:v>
                </c:pt>
                <c:pt idx="1370">
                  <c:v>12-Jun-2024</c:v>
                </c:pt>
                <c:pt idx="1371">
                  <c:v>13-Jun-2024</c:v>
                </c:pt>
                <c:pt idx="1372">
                  <c:v>14-Jun-2024</c:v>
                </c:pt>
                <c:pt idx="1373">
                  <c:v>17-Jun-2024</c:v>
                </c:pt>
                <c:pt idx="1374">
                  <c:v>18-Jun-2024</c:v>
                </c:pt>
                <c:pt idx="1375">
                  <c:v>19-Jun-2024</c:v>
                </c:pt>
                <c:pt idx="1376">
                  <c:v>20-Jun-2024</c:v>
                </c:pt>
                <c:pt idx="1377">
                  <c:v>21-Jun-2024</c:v>
                </c:pt>
                <c:pt idx="1378">
                  <c:v>24-Jun-2024</c:v>
                </c:pt>
                <c:pt idx="1379">
                  <c:v>25-Jun-2024</c:v>
                </c:pt>
                <c:pt idx="1380">
                  <c:v>26-Jun-2024</c:v>
                </c:pt>
                <c:pt idx="1381">
                  <c:v>27-Jun-2024</c:v>
                </c:pt>
                <c:pt idx="1382">
                  <c:v>28-Jun-2024</c:v>
                </c:pt>
                <c:pt idx="1383">
                  <c:v>01-Jul-2024</c:v>
                </c:pt>
                <c:pt idx="1384">
                  <c:v>02-Jul-2024</c:v>
                </c:pt>
                <c:pt idx="1385">
                  <c:v>03-Jul-2024</c:v>
                </c:pt>
                <c:pt idx="1386">
                  <c:v>04-Jul-2024</c:v>
                </c:pt>
                <c:pt idx="1387">
                  <c:v>05-Jul-2024</c:v>
                </c:pt>
                <c:pt idx="1388">
                  <c:v>08-Jul-2024</c:v>
                </c:pt>
                <c:pt idx="1389">
                  <c:v>09-Jul-2024</c:v>
                </c:pt>
                <c:pt idx="1390">
                  <c:v>10-Jul-2024</c:v>
                </c:pt>
                <c:pt idx="1391">
                  <c:v>11-Jul-2024</c:v>
                </c:pt>
                <c:pt idx="1392">
                  <c:v>12-Jul-2024</c:v>
                </c:pt>
                <c:pt idx="1393">
                  <c:v>15-Jul-2024</c:v>
                </c:pt>
                <c:pt idx="1394">
                  <c:v>16-Jul-2024</c:v>
                </c:pt>
                <c:pt idx="1395">
                  <c:v>17-Jul-2024</c:v>
                </c:pt>
                <c:pt idx="1396">
                  <c:v>18-Jul-2024</c:v>
                </c:pt>
                <c:pt idx="1397">
                  <c:v>19-Jul-2024</c:v>
                </c:pt>
                <c:pt idx="1398">
                  <c:v>22-Jul-2024</c:v>
                </c:pt>
                <c:pt idx="1399">
                  <c:v>23-Jul-2024</c:v>
                </c:pt>
                <c:pt idx="1400">
                  <c:v>24-Jul-2024</c:v>
                </c:pt>
                <c:pt idx="1401">
                  <c:v>25-Jul-2024</c:v>
                </c:pt>
                <c:pt idx="1402">
                  <c:v>26-Jul-2024</c:v>
                </c:pt>
                <c:pt idx="1403">
                  <c:v>29-Jul-2024</c:v>
                </c:pt>
                <c:pt idx="1404">
                  <c:v>30-Jul-2024</c:v>
                </c:pt>
                <c:pt idx="1405">
                  <c:v>31-Jul-2024</c:v>
                </c:pt>
                <c:pt idx="1406">
                  <c:v>01-Aug-2024</c:v>
                </c:pt>
                <c:pt idx="1407">
                  <c:v>02-Aug-2024</c:v>
                </c:pt>
                <c:pt idx="1408">
                  <c:v>05-Aug-2024</c:v>
                </c:pt>
                <c:pt idx="1409">
                  <c:v>06-Aug-2024</c:v>
                </c:pt>
                <c:pt idx="1410">
                  <c:v>07-Aug-2024</c:v>
                </c:pt>
                <c:pt idx="1411">
                  <c:v>08-Aug-2024</c:v>
                </c:pt>
                <c:pt idx="1412">
                  <c:v>09-Aug-2024</c:v>
                </c:pt>
                <c:pt idx="1413">
                  <c:v>12-Aug-2024</c:v>
                </c:pt>
                <c:pt idx="1414">
                  <c:v>13-Aug-2024</c:v>
                </c:pt>
                <c:pt idx="1415">
                  <c:v>14-Aug-2024</c:v>
                </c:pt>
                <c:pt idx="1416">
                  <c:v>15-Aug-2024</c:v>
                </c:pt>
                <c:pt idx="1417">
                  <c:v>16-Aug-2024</c:v>
                </c:pt>
                <c:pt idx="1418">
                  <c:v>19-Aug-2024</c:v>
                </c:pt>
                <c:pt idx="1419">
                  <c:v>20-Aug-2024</c:v>
                </c:pt>
                <c:pt idx="1420">
                  <c:v>21-Aug-2024</c:v>
                </c:pt>
                <c:pt idx="1421">
                  <c:v>22-Aug-2024</c:v>
                </c:pt>
                <c:pt idx="1422">
                  <c:v>23-Aug-2024</c:v>
                </c:pt>
                <c:pt idx="1423">
                  <c:v>26-Aug-2024</c:v>
                </c:pt>
                <c:pt idx="1424">
                  <c:v>27-Aug-2024</c:v>
                </c:pt>
                <c:pt idx="1425">
                  <c:v>28-Aug-2024</c:v>
                </c:pt>
                <c:pt idx="1426">
                  <c:v>29-Aug-2024</c:v>
                </c:pt>
                <c:pt idx="1427">
                  <c:v>30-Aug-2024</c:v>
                </c:pt>
                <c:pt idx="1428">
                  <c:v>02-Sep-2024</c:v>
                </c:pt>
                <c:pt idx="1429">
                  <c:v>03-Sep-2024</c:v>
                </c:pt>
                <c:pt idx="1430">
                  <c:v>04-Sep-2024</c:v>
                </c:pt>
                <c:pt idx="1431">
                  <c:v>05-Sep-2024</c:v>
                </c:pt>
                <c:pt idx="1432">
                  <c:v>06-Sep-2024</c:v>
                </c:pt>
                <c:pt idx="1433">
                  <c:v>09-Sep-2024</c:v>
                </c:pt>
                <c:pt idx="1434">
                  <c:v>10-Sep-2024</c:v>
                </c:pt>
                <c:pt idx="1435">
                  <c:v>11-Sep-2024</c:v>
                </c:pt>
                <c:pt idx="1436">
                  <c:v>12-Sep-2024</c:v>
                </c:pt>
                <c:pt idx="1437">
                  <c:v>13-Sep-2024</c:v>
                </c:pt>
                <c:pt idx="1438">
                  <c:v>16-Sep-2024</c:v>
                </c:pt>
                <c:pt idx="1439">
                  <c:v>17-Sep-2024</c:v>
                </c:pt>
                <c:pt idx="1440">
                  <c:v>18-Sep-2024</c:v>
                </c:pt>
                <c:pt idx="1441">
                  <c:v>19-Sep-2024</c:v>
                </c:pt>
                <c:pt idx="1442">
                  <c:v>20-Sep-2024</c:v>
                </c:pt>
                <c:pt idx="1443">
                  <c:v>23-Sep-2024</c:v>
                </c:pt>
                <c:pt idx="1444">
                  <c:v>24-Sep-2024</c:v>
                </c:pt>
                <c:pt idx="1445">
                  <c:v>25-Sep-2024</c:v>
                </c:pt>
                <c:pt idx="1446">
                  <c:v>26-Sep-2024</c:v>
                </c:pt>
                <c:pt idx="1447">
                  <c:v>27-Sep-2024</c:v>
                </c:pt>
                <c:pt idx="1448">
                  <c:v>30-Sep-2024</c:v>
                </c:pt>
                <c:pt idx="1449">
                  <c:v>01-Oct-2024</c:v>
                </c:pt>
                <c:pt idx="1450">
                  <c:v>02-Oct-2024</c:v>
                </c:pt>
                <c:pt idx="1451">
                  <c:v>03-Oct-2024</c:v>
                </c:pt>
                <c:pt idx="1452">
                  <c:v>04-Oct-2024</c:v>
                </c:pt>
                <c:pt idx="1453">
                  <c:v>08-Oct-2024</c:v>
                </c:pt>
                <c:pt idx="1454">
                  <c:v>09-Oct-2024</c:v>
                </c:pt>
                <c:pt idx="1455">
                  <c:v>10-Oct-2024</c:v>
                </c:pt>
                <c:pt idx="1456">
                  <c:v>11-Oct-2024</c:v>
                </c:pt>
                <c:pt idx="1457">
                  <c:v>14-Oct-2024</c:v>
                </c:pt>
                <c:pt idx="1458">
                  <c:v>15-Oct-2024</c:v>
                </c:pt>
                <c:pt idx="1459">
                  <c:v>16-Oct-2024</c:v>
                </c:pt>
                <c:pt idx="1460">
                  <c:v>17-Oct-2024</c:v>
                </c:pt>
                <c:pt idx="1461">
                  <c:v>18-Oct-2024</c:v>
                </c:pt>
                <c:pt idx="1462">
                  <c:v>21-Oct-2024</c:v>
                </c:pt>
                <c:pt idx="1463">
                  <c:v>22-Oct-2024</c:v>
                </c:pt>
                <c:pt idx="1464">
                  <c:v>23-Oct-2024</c:v>
                </c:pt>
                <c:pt idx="1465">
                  <c:v>24-Oct-2024</c:v>
                </c:pt>
                <c:pt idx="1466">
                  <c:v>25-Oct-2024</c:v>
                </c:pt>
                <c:pt idx="1467">
                  <c:v>28-Oct-2024</c:v>
                </c:pt>
                <c:pt idx="1468">
                  <c:v>29-Oct-2024</c:v>
                </c:pt>
                <c:pt idx="1469">
                  <c:v>30-Oct-2024</c:v>
                </c:pt>
                <c:pt idx="1470">
                  <c:v>31-Oct-2024</c:v>
                </c:pt>
                <c:pt idx="1471">
                  <c:v>01-Nov-2024</c:v>
                </c:pt>
                <c:pt idx="1472">
                  <c:v>04-Nov-2024</c:v>
                </c:pt>
                <c:pt idx="1473">
                  <c:v>05-Nov-2024</c:v>
                </c:pt>
                <c:pt idx="1474">
                  <c:v>06-Nov-2024</c:v>
                </c:pt>
                <c:pt idx="1475">
                  <c:v>07-Nov-2024</c:v>
                </c:pt>
                <c:pt idx="1476">
                  <c:v>08-Nov-2024</c:v>
                </c:pt>
                <c:pt idx="1477">
                  <c:v>11-Nov-2024</c:v>
                </c:pt>
                <c:pt idx="1478">
                  <c:v>12-Nov-2024</c:v>
                </c:pt>
                <c:pt idx="1479">
                  <c:v>13-Nov-2024</c:v>
                </c:pt>
                <c:pt idx="1480">
                  <c:v>14-Nov-2024</c:v>
                </c:pt>
                <c:pt idx="1481">
                  <c:v>15-Nov-2024</c:v>
                </c:pt>
                <c:pt idx="1482">
                  <c:v>18-Nov-2024</c:v>
                </c:pt>
                <c:pt idx="1483">
                  <c:v>19-Nov-2024</c:v>
                </c:pt>
                <c:pt idx="1484">
                  <c:v>20-Nov-2024</c:v>
                </c:pt>
                <c:pt idx="1485">
                  <c:v>21-Nov-2024</c:v>
                </c:pt>
                <c:pt idx="1486">
                  <c:v>22-Nov-2024</c:v>
                </c:pt>
                <c:pt idx="1487">
                  <c:v>25-Nov-2024</c:v>
                </c:pt>
                <c:pt idx="1488">
                  <c:v>26-Nov-2024</c:v>
                </c:pt>
                <c:pt idx="1489">
                  <c:v>27-Nov-2024</c:v>
                </c:pt>
                <c:pt idx="1490">
                  <c:v>28-Nov-2024</c:v>
                </c:pt>
                <c:pt idx="1491">
                  <c:v>29-Nov-2024</c:v>
                </c:pt>
                <c:pt idx="1492">
                  <c:v>02-Dec-2024</c:v>
                </c:pt>
                <c:pt idx="1493">
                  <c:v>03-Dec-2024</c:v>
                </c:pt>
                <c:pt idx="1494">
                  <c:v>04-Dec-2024</c:v>
                </c:pt>
                <c:pt idx="1495">
                  <c:v>05-Dec-2024</c:v>
                </c:pt>
                <c:pt idx="1496">
                  <c:v>06-Dec-2024</c:v>
                </c:pt>
                <c:pt idx="1497">
                  <c:v>09-Dec-2024</c:v>
                </c:pt>
                <c:pt idx="1498">
                  <c:v>10-Dec-2024</c:v>
                </c:pt>
                <c:pt idx="1499">
                  <c:v>11-Dec-2024</c:v>
                </c:pt>
                <c:pt idx="1500">
                  <c:v>12-Dec-2024</c:v>
                </c:pt>
                <c:pt idx="1501">
                  <c:v>13-Dec-2024</c:v>
                </c:pt>
                <c:pt idx="1502">
                  <c:v>16-Dec-2024</c:v>
                </c:pt>
                <c:pt idx="1503">
                  <c:v>17-Dec-2024</c:v>
                </c:pt>
                <c:pt idx="1504">
                  <c:v>18-Dec-2024</c:v>
                </c:pt>
                <c:pt idx="1505">
                  <c:v>19-Dec-2024</c:v>
                </c:pt>
                <c:pt idx="1506">
                  <c:v>20-Dec-2024</c:v>
                </c:pt>
                <c:pt idx="1507">
                  <c:v>23-Dec-2024</c:v>
                </c:pt>
                <c:pt idx="1508">
                  <c:v>24-Dec-2024</c:v>
                </c:pt>
                <c:pt idx="1509">
                  <c:v>27-Dec-2024</c:v>
                </c:pt>
                <c:pt idx="1510">
                  <c:v>30-Dec-2024</c:v>
                </c:pt>
                <c:pt idx="1511">
                  <c:v>31-Dec-2024</c:v>
                </c:pt>
                <c:pt idx="1512">
                  <c:v>02-Jan-2025</c:v>
                </c:pt>
                <c:pt idx="1513">
                  <c:v>03-Jan-2025</c:v>
                </c:pt>
                <c:pt idx="1514">
                  <c:v>06-Jan-2025</c:v>
                </c:pt>
                <c:pt idx="1515">
                  <c:v>07-Jan-2025</c:v>
                </c:pt>
                <c:pt idx="1516">
                  <c:v>08-Jan-2025</c:v>
                </c:pt>
                <c:pt idx="1517">
                  <c:v>09-Jan-2025</c:v>
                </c:pt>
                <c:pt idx="1518">
                  <c:v>10-Jan-2025</c:v>
                </c:pt>
                <c:pt idx="1519">
                  <c:v>13-Jan-2025</c:v>
                </c:pt>
                <c:pt idx="1520">
                  <c:v>14-Jan-2025</c:v>
                </c:pt>
                <c:pt idx="1521">
                  <c:v>15-Jan-2025</c:v>
                </c:pt>
                <c:pt idx="1522">
                  <c:v>16-Jan-2025</c:v>
                </c:pt>
                <c:pt idx="1523">
                  <c:v>17-Jan-2025</c:v>
                </c:pt>
                <c:pt idx="1524">
                  <c:v>20-Jan-2025</c:v>
                </c:pt>
                <c:pt idx="1525">
                  <c:v>21-Jan-2025</c:v>
                </c:pt>
                <c:pt idx="1526">
                  <c:v>22-Jan-2025</c:v>
                </c:pt>
                <c:pt idx="1527">
                  <c:v>23-Jan-2025</c:v>
                </c:pt>
                <c:pt idx="1528">
                  <c:v>24-Jan-2025</c:v>
                </c:pt>
                <c:pt idx="1529">
                  <c:v>28-Jan-2025</c:v>
                </c:pt>
                <c:pt idx="1530">
                  <c:v>29-Jan-2025</c:v>
                </c:pt>
                <c:pt idx="1531">
                  <c:v>30-Jan-2025</c:v>
                </c:pt>
                <c:pt idx="1532">
                  <c:v>31-Jan-2025</c:v>
                </c:pt>
                <c:pt idx="1533">
                  <c:v>03-Feb-2025</c:v>
                </c:pt>
                <c:pt idx="1534">
                  <c:v>04-Feb-2025</c:v>
                </c:pt>
                <c:pt idx="1535">
                  <c:v>05-Feb-2025</c:v>
                </c:pt>
                <c:pt idx="1536">
                  <c:v>06-Feb-2025</c:v>
                </c:pt>
                <c:pt idx="1537">
                  <c:v>07-Feb-2025</c:v>
                </c:pt>
                <c:pt idx="1538">
                  <c:v>10-Feb-2025</c:v>
                </c:pt>
                <c:pt idx="1539">
                  <c:v>11-Feb-2025</c:v>
                </c:pt>
                <c:pt idx="1540">
                  <c:v>12-Feb-2025</c:v>
                </c:pt>
                <c:pt idx="1541">
                  <c:v>13-Feb-2025</c:v>
                </c:pt>
                <c:pt idx="1542">
                  <c:v>14-Feb-2025</c:v>
                </c:pt>
                <c:pt idx="1543">
                  <c:v>17-Feb-2025</c:v>
                </c:pt>
                <c:pt idx="1544">
                  <c:v>18-Feb-2025</c:v>
                </c:pt>
                <c:pt idx="1545">
                  <c:v>19-Feb-2025</c:v>
                </c:pt>
                <c:pt idx="1546">
                  <c:v>20-Feb-2025</c:v>
                </c:pt>
                <c:pt idx="1547">
                  <c:v>21-Feb-2025</c:v>
                </c:pt>
                <c:pt idx="1548">
                  <c:v>24-Feb-2025</c:v>
                </c:pt>
                <c:pt idx="1549">
                  <c:v>25-Feb-2025</c:v>
                </c:pt>
                <c:pt idx="1550">
                  <c:v>26-Feb-2025</c:v>
                </c:pt>
                <c:pt idx="1551">
                  <c:v>27-Feb-2025</c:v>
                </c:pt>
                <c:pt idx="1552">
                  <c:v>28-Feb-2025</c:v>
                </c:pt>
                <c:pt idx="1553">
                  <c:v>03-Mar-2025</c:v>
                </c:pt>
                <c:pt idx="1554">
                  <c:v>04-Mar-2025</c:v>
                </c:pt>
                <c:pt idx="1555">
                  <c:v>05-Mar-2025</c:v>
                </c:pt>
                <c:pt idx="1556">
                  <c:v>06-Mar-2025</c:v>
                </c:pt>
                <c:pt idx="1557">
                  <c:v>07-Mar-2025</c:v>
                </c:pt>
                <c:pt idx="1558">
                  <c:v>10-Mar-2025</c:v>
                </c:pt>
                <c:pt idx="1559">
                  <c:v>11-Mar-2025</c:v>
                </c:pt>
                <c:pt idx="1560">
                  <c:v>12-Mar-2025</c:v>
                </c:pt>
                <c:pt idx="1561">
                  <c:v>13-Mar-2025</c:v>
                </c:pt>
                <c:pt idx="1562">
                  <c:v>14-Mar-2025</c:v>
                </c:pt>
                <c:pt idx="1563">
                  <c:v>17-Mar-2025</c:v>
                </c:pt>
                <c:pt idx="1564">
                  <c:v>18-Mar-2025</c:v>
                </c:pt>
                <c:pt idx="1565">
                  <c:v>19-Mar-2025</c:v>
                </c:pt>
                <c:pt idx="1566">
                  <c:v>20-Mar-2025</c:v>
                </c:pt>
                <c:pt idx="1567">
                  <c:v>21-Mar-2025</c:v>
                </c:pt>
                <c:pt idx="1568">
                  <c:v>24-Mar-2025</c:v>
                </c:pt>
                <c:pt idx="1569">
                  <c:v>25-Mar-2025</c:v>
                </c:pt>
                <c:pt idx="1570">
                  <c:v>26-Mar-2025</c:v>
                </c:pt>
                <c:pt idx="1571">
                  <c:v>27-Mar-2025</c:v>
                </c:pt>
                <c:pt idx="1572">
                  <c:v>28-Mar-2025</c:v>
                </c:pt>
                <c:pt idx="1573">
                  <c:v>31-Mar-2025</c:v>
                </c:pt>
                <c:pt idx="1574">
                  <c:v>01-Apr-2025</c:v>
                </c:pt>
                <c:pt idx="1575">
                  <c:v>02-Apr-2025</c:v>
                </c:pt>
                <c:pt idx="1576">
                  <c:v>03-Apr-2025</c:v>
                </c:pt>
                <c:pt idx="1577">
                  <c:v>04-Apr-2025</c:v>
                </c:pt>
                <c:pt idx="1578">
                  <c:v>07-Apr-2025</c:v>
                </c:pt>
                <c:pt idx="1579">
                  <c:v>08-Apr-2025</c:v>
                </c:pt>
                <c:pt idx="1580">
                  <c:v>09-Apr-2025</c:v>
                </c:pt>
              </c:strCache>
            </c:strRef>
          </c:cat>
          <c:val>
            <c:numRef>
              <c:f>'Risk Free Rate'!$C$10:$C$1590</c:f>
              <c:numCache>
                <c:formatCode>#0.000</c:formatCode>
                <c:ptCount val="1581"/>
                <c:pt idx="0">
                  <c:v>1.79</c:v>
                </c:pt>
                <c:pt idx="1">
                  <c:v>1.7210000000000001</c:v>
                </c:pt>
                <c:pt idx="2">
                  <c:v>1.76</c:v>
                </c:pt>
                <c:pt idx="3">
                  <c:v>1.78</c:v>
                </c:pt>
                <c:pt idx="4">
                  <c:v>1.806</c:v>
                </c:pt>
                <c:pt idx="5">
                  <c:v>1.8260000000000001</c:v>
                </c:pt>
                <c:pt idx="6">
                  <c:v>1.8160000000000001</c:v>
                </c:pt>
                <c:pt idx="7">
                  <c:v>1.81</c:v>
                </c:pt>
                <c:pt idx="8">
                  <c:v>1.7809999999999999</c:v>
                </c:pt>
                <c:pt idx="9">
                  <c:v>1.796</c:v>
                </c:pt>
                <c:pt idx="10">
                  <c:v>1.782</c:v>
                </c:pt>
                <c:pt idx="11">
                  <c:v>1.778</c:v>
                </c:pt>
                <c:pt idx="12">
                  <c:v>1.806</c:v>
                </c:pt>
                <c:pt idx="13">
                  <c:v>1.806</c:v>
                </c:pt>
                <c:pt idx="14">
                  <c:v>1.8049999999999999</c:v>
                </c:pt>
                <c:pt idx="15">
                  <c:v>1.7869999999999999</c:v>
                </c:pt>
                <c:pt idx="16">
                  <c:v>1.756</c:v>
                </c:pt>
                <c:pt idx="17">
                  <c:v>1.71</c:v>
                </c:pt>
                <c:pt idx="18">
                  <c:v>1.72</c:v>
                </c:pt>
                <c:pt idx="19">
                  <c:v>1.7549999999999999</c:v>
                </c:pt>
                <c:pt idx="20">
                  <c:v>1.75</c:v>
                </c:pt>
                <c:pt idx="21">
                  <c:v>1.736</c:v>
                </c:pt>
                <c:pt idx="22">
                  <c:v>1.7490000000000001</c:v>
                </c:pt>
                <c:pt idx="23">
                  <c:v>1.764</c:v>
                </c:pt>
                <c:pt idx="24">
                  <c:v>1.6619999999999999</c:v>
                </c:pt>
                <c:pt idx="25">
                  <c:v>1.649</c:v>
                </c:pt>
                <c:pt idx="26">
                  <c:v>1.615</c:v>
                </c:pt>
                <c:pt idx="27">
                  <c:v>1.623</c:v>
                </c:pt>
                <c:pt idx="28">
                  <c:v>1.659</c:v>
                </c:pt>
                <c:pt idx="29">
                  <c:v>1.6870000000000001</c:v>
                </c:pt>
                <c:pt idx="30">
                  <c:v>1.6919999999999999</c:v>
                </c:pt>
                <c:pt idx="31">
                  <c:v>1.6619999999999999</c:v>
                </c:pt>
                <c:pt idx="32">
                  <c:v>1.6890000000000001</c:v>
                </c:pt>
                <c:pt idx="33">
                  <c:v>1.6830000000000001</c:v>
                </c:pt>
                <c:pt idx="34">
                  <c:v>1.6459999999999999</c:v>
                </c:pt>
                <c:pt idx="35">
                  <c:v>1.593</c:v>
                </c:pt>
                <c:pt idx="36">
                  <c:v>1.6359999999999999</c:v>
                </c:pt>
                <c:pt idx="37">
                  <c:v>1.653</c:v>
                </c:pt>
                <c:pt idx="38">
                  <c:v>1.653</c:v>
                </c:pt>
                <c:pt idx="39">
                  <c:v>1.633</c:v>
                </c:pt>
                <c:pt idx="40">
                  <c:v>1.6279999999999999</c:v>
                </c:pt>
                <c:pt idx="41">
                  <c:v>1.671</c:v>
                </c:pt>
                <c:pt idx="42">
                  <c:v>1.69</c:v>
                </c:pt>
                <c:pt idx="43">
                  <c:v>1.66</c:v>
                </c:pt>
                <c:pt idx="44">
                  <c:v>1.595</c:v>
                </c:pt>
                <c:pt idx="45">
                  <c:v>1.61</c:v>
                </c:pt>
                <c:pt idx="46">
                  <c:v>1.5860000000000001</c:v>
                </c:pt>
                <c:pt idx="47">
                  <c:v>1.5960000000000001</c:v>
                </c:pt>
                <c:pt idx="48">
                  <c:v>1.599</c:v>
                </c:pt>
                <c:pt idx="49">
                  <c:v>1.5349999999999999</c:v>
                </c:pt>
                <c:pt idx="50">
                  <c:v>1.522</c:v>
                </c:pt>
                <c:pt idx="51">
                  <c:v>1.536</c:v>
                </c:pt>
                <c:pt idx="52">
                  <c:v>1.5469999999999999</c:v>
                </c:pt>
                <c:pt idx="53">
                  <c:v>1.502</c:v>
                </c:pt>
                <c:pt idx="54">
                  <c:v>1.4890000000000001</c:v>
                </c:pt>
                <c:pt idx="55">
                  <c:v>1.464</c:v>
                </c:pt>
                <c:pt idx="56">
                  <c:v>1.4339999999999999</c:v>
                </c:pt>
                <c:pt idx="57">
                  <c:v>1.403</c:v>
                </c:pt>
                <c:pt idx="58">
                  <c:v>1.44</c:v>
                </c:pt>
                <c:pt idx="59">
                  <c:v>1.397</c:v>
                </c:pt>
                <c:pt idx="60">
                  <c:v>1.3740000000000001</c:v>
                </c:pt>
                <c:pt idx="61">
                  <c:v>1.3939999999999999</c:v>
                </c:pt>
                <c:pt idx="62">
                  <c:v>1.413</c:v>
                </c:pt>
                <c:pt idx="63">
                  <c:v>1.3779999999999999</c:v>
                </c:pt>
                <c:pt idx="64">
                  <c:v>1.4059999999999999</c:v>
                </c:pt>
                <c:pt idx="65">
                  <c:v>1.44</c:v>
                </c:pt>
                <c:pt idx="66">
                  <c:v>1.4550000000000001</c:v>
                </c:pt>
                <c:pt idx="67">
                  <c:v>1.43</c:v>
                </c:pt>
                <c:pt idx="68">
                  <c:v>1.4319999999999999</c:v>
                </c:pt>
                <c:pt idx="69">
                  <c:v>1.4359999999999999</c:v>
                </c:pt>
                <c:pt idx="70">
                  <c:v>1.4350000000000001</c:v>
                </c:pt>
                <c:pt idx="71">
                  <c:v>1.4430000000000001</c:v>
                </c:pt>
                <c:pt idx="72">
                  <c:v>1.4830000000000001</c:v>
                </c:pt>
                <c:pt idx="73">
                  <c:v>1.458</c:v>
                </c:pt>
                <c:pt idx="74">
                  <c:v>1.4650000000000001</c:v>
                </c:pt>
                <c:pt idx="75">
                  <c:v>1.47</c:v>
                </c:pt>
                <c:pt idx="76">
                  <c:v>1.4259999999999999</c:v>
                </c:pt>
                <c:pt idx="77">
                  <c:v>1.272</c:v>
                </c:pt>
                <c:pt idx="78">
                  <c:v>1.29</c:v>
                </c:pt>
                <c:pt idx="79">
                  <c:v>1.294</c:v>
                </c:pt>
                <c:pt idx="80">
                  <c:v>1.2769999999999999</c:v>
                </c:pt>
                <c:pt idx="81">
                  <c:v>1.272</c:v>
                </c:pt>
                <c:pt idx="82">
                  <c:v>1.2829999999999999</c:v>
                </c:pt>
                <c:pt idx="83">
                  <c:v>1.2829999999999999</c:v>
                </c:pt>
                <c:pt idx="84">
                  <c:v>1.2430000000000001</c:v>
                </c:pt>
                <c:pt idx="85">
                  <c:v>1.3180000000000001</c:v>
                </c:pt>
                <c:pt idx="86">
                  <c:v>1.2829999999999999</c:v>
                </c:pt>
                <c:pt idx="87">
                  <c:v>1.268</c:v>
                </c:pt>
                <c:pt idx="88">
                  <c:v>1.274</c:v>
                </c:pt>
                <c:pt idx="89">
                  <c:v>1.264</c:v>
                </c:pt>
                <c:pt idx="90">
                  <c:v>1.2390000000000001</c:v>
                </c:pt>
                <c:pt idx="91">
                  <c:v>1.2390000000000001</c:v>
                </c:pt>
                <c:pt idx="92">
                  <c:v>1.1870000000000001</c:v>
                </c:pt>
                <c:pt idx="93">
                  <c:v>1.1830000000000001</c:v>
                </c:pt>
                <c:pt idx="94">
                  <c:v>1.232</c:v>
                </c:pt>
                <c:pt idx="95">
                  <c:v>1.181</c:v>
                </c:pt>
                <c:pt idx="96">
                  <c:v>1.177</c:v>
                </c:pt>
                <c:pt idx="97">
                  <c:v>1.1379999999999999</c:v>
                </c:pt>
                <c:pt idx="98">
                  <c:v>1.0940000000000001</c:v>
                </c:pt>
                <c:pt idx="99">
                  <c:v>1.125</c:v>
                </c:pt>
                <c:pt idx="100">
                  <c:v>1.1160000000000001</c:v>
                </c:pt>
                <c:pt idx="101">
                  <c:v>1.0920000000000001</c:v>
                </c:pt>
                <c:pt idx="102">
                  <c:v>1.1279999999999999</c:v>
                </c:pt>
                <c:pt idx="103">
                  <c:v>1.097</c:v>
                </c:pt>
                <c:pt idx="104">
                  <c:v>1.1200000000000001</c:v>
                </c:pt>
                <c:pt idx="105">
                  <c:v>1.113</c:v>
                </c:pt>
                <c:pt idx="106">
                  <c:v>1.075</c:v>
                </c:pt>
                <c:pt idx="107">
                  <c:v>1.0549999999999999</c:v>
                </c:pt>
                <c:pt idx="108">
                  <c:v>1.0649999999999999</c:v>
                </c:pt>
                <c:pt idx="109">
                  <c:v>1.0489999999999999</c:v>
                </c:pt>
                <c:pt idx="110">
                  <c:v>1.028</c:v>
                </c:pt>
                <c:pt idx="111">
                  <c:v>0.99099999999999999</c:v>
                </c:pt>
                <c:pt idx="112">
                  <c:v>0.98</c:v>
                </c:pt>
                <c:pt idx="113">
                  <c:v>1.016</c:v>
                </c:pt>
                <c:pt idx="114">
                  <c:v>1</c:v>
                </c:pt>
                <c:pt idx="115">
                  <c:v>0.96499999999999997</c:v>
                </c:pt>
                <c:pt idx="116">
                  <c:v>0.91600000000000004</c:v>
                </c:pt>
                <c:pt idx="117">
                  <c:v>0.89100000000000001</c:v>
                </c:pt>
                <c:pt idx="118">
                  <c:v>0.90100000000000002</c:v>
                </c:pt>
                <c:pt idx="119">
                  <c:v>0.89500000000000002</c:v>
                </c:pt>
                <c:pt idx="120">
                  <c:v>0.92100000000000004</c:v>
                </c:pt>
                <c:pt idx="121">
                  <c:v>0.96799999999999997</c:v>
                </c:pt>
                <c:pt idx="122">
                  <c:v>0.95599999999999996</c:v>
                </c:pt>
                <c:pt idx="123">
                  <c:v>0.97599999999999998</c:v>
                </c:pt>
                <c:pt idx="124">
                  <c:v>0.96599999999999997</c:v>
                </c:pt>
                <c:pt idx="125">
                  <c:v>0.92100000000000004</c:v>
                </c:pt>
                <c:pt idx="126">
                  <c:v>0.93400000000000005</c:v>
                </c:pt>
                <c:pt idx="127">
                  <c:v>0.93300000000000005</c:v>
                </c:pt>
                <c:pt idx="128">
                  <c:v>0.95199999999999996</c:v>
                </c:pt>
                <c:pt idx="129">
                  <c:v>0.94599999999999995</c:v>
                </c:pt>
                <c:pt idx="130">
                  <c:v>0.97</c:v>
                </c:pt>
                <c:pt idx="131">
                  <c:v>0.93500000000000005</c:v>
                </c:pt>
                <c:pt idx="132">
                  <c:v>0.98199999999999998</c:v>
                </c:pt>
                <c:pt idx="133">
                  <c:v>0.996</c:v>
                </c:pt>
                <c:pt idx="134">
                  <c:v>0.96199999999999997</c:v>
                </c:pt>
                <c:pt idx="135">
                  <c:v>0.94799999999999995</c:v>
                </c:pt>
                <c:pt idx="136">
                  <c:v>0.93300000000000005</c:v>
                </c:pt>
                <c:pt idx="137">
                  <c:v>0.94299999999999995</c:v>
                </c:pt>
                <c:pt idx="138">
                  <c:v>0.93300000000000005</c:v>
                </c:pt>
                <c:pt idx="139">
                  <c:v>0.92300000000000004</c:v>
                </c:pt>
                <c:pt idx="140">
                  <c:v>0.88900000000000001</c:v>
                </c:pt>
                <c:pt idx="141">
                  <c:v>0.84399999999999997</c:v>
                </c:pt>
                <c:pt idx="142">
                  <c:v>0.84499999999999997</c:v>
                </c:pt>
                <c:pt idx="143">
                  <c:v>0.82499999999999996</c:v>
                </c:pt>
                <c:pt idx="144">
                  <c:v>0.81499999999999995</c:v>
                </c:pt>
                <c:pt idx="145">
                  <c:v>0.80400000000000005</c:v>
                </c:pt>
                <c:pt idx="146">
                  <c:v>0.83499999999999996</c:v>
                </c:pt>
                <c:pt idx="147">
                  <c:v>0.746</c:v>
                </c:pt>
                <c:pt idx="148">
                  <c:v>0.70899999999999996</c:v>
                </c:pt>
                <c:pt idx="149">
                  <c:v>0.70299999999999996</c:v>
                </c:pt>
                <c:pt idx="150">
                  <c:v>0.65300000000000002</c:v>
                </c:pt>
                <c:pt idx="151">
                  <c:v>0.68500000000000005</c:v>
                </c:pt>
                <c:pt idx="152">
                  <c:v>0.67100000000000004</c:v>
                </c:pt>
                <c:pt idx="153">
                  <c:v>0.66900000000000004</c:v>
                </c:pt>
                <c:pt idx="154">
                  <c:v>0.66200000000000003</c:v>
                </c:pt>
                <c:pt idx="155">
                  <c:v>0.66900000000000004</c:v>
                </c:pt>
                <c:pt idx="156">
                  <c:v>0.66300000000000003</c:v>
                </c:pt>
                <c:pt idx="157">
                  <c:v>0.66800000000000004</c:v>
                </c:pt>
                <c:pt idx="158">
                  <c:v>0.67700000000000005</c:v>
                </c:pt>
                <c:pt idx="159">
                  <c:v>0.68100000000000005</c:v>
                </c:pt>
                <c:pt idx="160">
                  <c:v>0.67600000000000005</c:v>
                </c:pt>
                <c:pt idx="161">
                  <c:v>0.67300000000000004</c:v>
                </c:pt>
                <c:pt idx="162">
                  <c:v>0.70499999999999996</c:v>
                </c:pt>
                <c:pt idx="163">
                  <c:v>0.66300000000000003</c:v>
                </c:pt>
                <c:pt idx="164">
                  <c:v>0.69</c:v>
                </c:pt>
                <c:pt idx="165">
                  <c:v>0.67700000000000005</c:v>
                </c:pt>
                <c:pt idx="166">
                  <c:v>0.66900000000000004</c:v>
                </c:pt>
                <c:pt idx="167">
                  <c:v>0.66900000000000004</c:v>
                </c:pt>
                <c:pt idx="168">
                  <c:v>0.68899999999999995</c:v>
                </c:pt>
                <c:pt idx="169">
                  <c:v>0.69799999999999995</c:v>
                </c:pt>
                <c:pt idx="170">
                  <c:v>0.71799999999999997</c:v>
                </c:pt>
                <c:pt idx="171">
                  <c:v>0.745</c:v>
                </c:pt>
                <c:pt idx="172">
                  <c:v>0.81699999999999995</c:v>
                </c:pt>
                <c:pt idx="173">
                  <c:v>0.80800000000000005</c:v>
                </c:pt>
                <c:pt idx="174">
                  <c:v>0.83199999999999996</c:v>
                </c:pt>
                <c:pt idx="175">
                  <c:v>0.86799999999999999</c:v>
                </c:pt>
                <c:pt idx="176">
                  <c:v>0.874</c:v>
                </c:pt>
                <c:pt idx="177">
                  <c:v>0.88600000000000001</c:v>
                </c:pt>
                <c:pt idx="178">
                  <c:v>0.90900000000000003</c:v>
                </c:pt>
                <c:pt idx="179">
                  <c:v>0.85099999999999998</c:v>
                </c:pt>
                <c:pt idx="180">
                  <c:v>0.85099999999999998</c:v>
                </c:pt>
                <c:pt idx="181">
                  <c:v>0.77100000000000002</c:v>
                </c:pt>
                <c:pt idx="182">
                  <c:v>0.73699999999999999</c:v>
                </c:pt>
                <c:pt idx="183">
                  <c:v>0.73199999999999998</c:v>
                </c:pt>
                <c:pt idx="184">
                  <c:v>0.71799999999999997</c:v>
                </c:pt>
                <c:pt idx="185">
                  <c:v>0.70499999999999996</c:v>
                </c:pt>
                <c:pt idx="186">
                  <c:v>0.69799999999999995</c:v>
                </c:pt>
                <c:pt idx="187">
                  <c:v>0.69799999999999995</c:v>
                </c:pt>
                <c:pt idx="188">
                  <c:v>0.73199999999999998</c:v>
                </c:pt>
                <c:pt idx="189">
                  <c:v>0.65600000000000003</c:v>
                </c:pt>
                <c:pt idx="190">
                  <c:v>0.626</c:v>
                </c:pt>
                <c:pt idx="191">
                  <c:v>0.60699999999999998</c:v>
                </c:pt>
                <c:pt idx="192">
                  <c:v>0.59299999999999997</c:v>
                </c:pt>
                <c:pt idx="193">
                  <c:v>0.59799999999999998</c:v>
                </c:pt>
                <c:pt idx="194">
                  <c:v>0.59199999999999997</c:v>
                </c:pt>
                <c:pt idx="195">
                  <c:v>0.59</c:v>
                </c:pt>
                <c:pt idx="196">
                  <c:v>0.67400000000000004</c:v>
                </c:pt>
                <c:pt idx="197">
                  <c:v>0.69599999999999995</c:v>
                </c:pt>
                <c:pt idx="198">
                  <c:v>0.68</c:v>
                </c:pt>
                <c:pt idx="199">
                  <c:v>0.7</c:v>
                </c:pt>
                <c:pt idx="200">
                  <c:v>0.745</c:v>
                </c:pt>
                <c:pt idx="201">
                  <c:v>0.75800000000000001</c:v>
                </c:pt>
                <c:pt idx="202">
                  <c:v>0.78200000000000003</c:v>
                </c:pt>
                <c:pt idx="203">
                  <c:v>0.78300000000000003</c:v>
                </c:pt>
                <c:pt idx="204">
                  <c:v>0.745</c:v>
                </c:pt>
                <c:pt idx="205">
                  <c:v>0.72599999999999998</c:v>
                </c:pt>
                <c:pt idx="206">
                  <c:v>0.71299999999999997</c:v>
                </c:pt>
                <c:pt idx="207">
                  <c:v>0.73699999999999999</c:v>
                </c:pt>
                <c:pt idx="208">
                  <c:v>0.81299999999999994</c:v>
                </c:pt>
                <c:pt idx="209">
                  <c:v>0.78100000000000003</c:v>
                </c:pt>
                <c:pt idx="210">
                  <c:v>0.80600000000000005</c:v>
                </c:pt>
                <c:pt idx="211">
                  <c:v>0.78100000000000003</c:v>
                </c:pt>
                <c:pt idx="212">
                  <c:v>0.82399999999999995</c:v>
                </c:pt>
                <c:pt idx="213">
                  <c:v>0.85399999999999998</c:v>
                </c:pt>
                <c:pt idx="214">
                  <c:v>0.88</c:v>
                </c:pt>
                <c:pt idx="215">
                  <c:v>0.84499999999999997</c:v>
                </c:pt>
                <c:pt idx="216">
                  <c:v>0.878</c:v>
                </c:pt>
                <c:pt idx="217">
                  <c:v>0.86399999999999999</c:v>
                </c:pt>
                <c:pt idx="218">
                  <c:v>0.84299999999999997</c:v>
                </c:pt>
                <c:pt idx="219">
                  <c:v>0.82099999999999995</c:v>
                </c:pt>
                <c:pt idx="220">
                  <c:v>0.74299999999999999</c:v>
                </c:pt>
                <c:pt idx="221">
                  <c:v>0.752</c:v>
                </c:pt>
                <c:pt idx="222">
                  <c:v>0.75</c:v>
                </c:pt>
                <c:pt idx="223">
                  <c:v>0.72099999999999997</c:v>
                </c:pt>
                <c:pt idx="224">
                  <c:v>0.70899999999999996</c:v>
                </c:pt>
                <c:pt idx="225">
                  <c:v>0.71799999999999997</c:v>
                </c:pt>
                <c:pt idx="226">
                  <c:v>0.73199999999999998</c:v>
                </c:pt>
                <c:pt idx="227">
                  <c:v>0.73299999999999998</c:v>
                </c:pt>
                <c:pt idx="228">
                  <c:v>0.72899999999999998</c:v>
                </c:pt>
                <c:pt idx="229">
                  <c:v>0.64500000000000002</c:v>
                </c:pt>
                <c:pt idx="230">
                  <c:v>0.62</c:v>
                </c:pt>
                <c:pt idx="231">
                  <c:v>0.64500000000000002</c:v>
                </c:pt>
                <c:pt idx="232">
                  <c:v>0.68500000000000005</c:v>
                </c:pt>
                <c:pt idx="233">
                  <c:v>0.76300000000000001</c:v>
                </c:pt>
                <c:pt idx="234">
                  <c:v>0.67400000000000004</c:v>
                </c:pt>
                <c:pt idx="235">
                  <c:v>0.67900000000000005</c:v>
                </c:pt>
                <c:pt idx="236">
                  <c:v>0.69699999999999995</c:v>
                </c:pt>
                <c:pt idx="237">
                  <c:v>0.70899999999999996</c:v>
                </c:pt>
                <c:pt idx="238">
                  <c:v>0.67900000000000005</c:v>
                </c:pt>
                <c:pt idx="239">
                  <c:v>0.70599999999999996</c:v>
                </c:pt>
                <c:pt idx="240">
                  <c:v>0.69399999999999995</c:v>
                </c:pt>
                <c:pt idx="241">
                  <c:v>0.79</c:v>
                </c:pt>
                <c:pt idx="242">
                  <c:v>0.73799999999999999</c:v>
                </c:pt>
                <c:pt idx="243">
                  <c:v>0.71</c:v>
                </c:pt>
                <c:pt idx="244">
                  <c:v>0.74299999999999999</c:v>
                </c:pt>
                <c:pt idx="245">
                  <c:v>0.80800000000000005</c:v>
                </c:pt>
                <c:pt idx="246">
                  <c:v>0.84599999999999997</c:v>
                </c:pt>
                <c:pt idx="247">
                  <c:v>0.86099999999999999</c:v>
                </c:pt>
                <c:pt idx="248">
                  <c:v>0.876</c:v>
                </c:pt>
                <c:pt idx="249">
                  <c:v>0.88800000000000001</c:v>
                </c:pt>
                <c:pt idx="250">
                  <c:v>0.878</c:v>
                </c:pt>
                <c:pt idx="251">
                  <c:v>0.91200000000000003</c:v>
                </c:pt>
                <c:pt idx="252">
                  <c:v>0.873</c:v>
                </c:pt>
                <c:pt idx="253">
                  <c:v>0.81</c:v>
                </c:pt>
                <c:pt idx="254">
                  <c:v>0.77700000000000002</c:v>
                </c:pt>
                <c:pt idx="255">
                  <c:v>0.77600000000000002</c:v>
                </c:pt>
                <c:pt idx="256">
                  <c:v>0.755</c:v>
                </c:pt>
                <c:pt idx="257">
                  <c:v>0.78700000000000003</c:v>
                </c:pt>
                <c:pt idx="258">
                  <c:v>0.79600000000000004</c:v>
                </c:pt>
                <c:pt idx="259">
                  <c:v>0.78200000000000003</c:v>
                </c:pt>
                <c:pt idx="260">
                  <c:v>0.80400000000000005</c:v>
                </c:pt>
                <c:pt idx="261">
                  <c:v>0.78800000000000003</c:v>
                </c:pt>
                <c:pt idx="262">
                  <c:v>0.76200000000000001</c:v>
                </c:pt>
                <c:pt idx="263">
                  <c:v>0.754</c:v>
                </c:pt>
                <c:pt idx="264">
                  <c:v>0.74399999999999999</c:v>
                </c:pt>
                <c:pt idx="265">
                  <c:v>0.73499999999999999</c:v>
                </c:pt>
                <c:pt idx="266">
                  <c:v>0.69699999999999995</c:v>
                </c:pt>
                <c:pt idx="267">
                  <c:v>0.72499999999999998</c:v>
                </c:pt>
                <c:pt idx="268">
                  <c:v>0.73199999999999998</c:v>
                </c:pt>
                <c:pt idx="269">
                  <c:v>0.627</c:v>
                </c:pt>
                <c:pt idx="270">
                  <c:v>0.67700000000000005</c:v>
                </c:pt>
                <c:pt idx="271">
                  <c:v>0.627</c:v>
                </c:pt>
                <c:pt idx="272">
                  <c:v>0.622</c:v>
                </c:pt>
                <c:pt idx="273">
                  <c:v>0.58799999999999997</c:v>
                </c:pt>
                <c:pt idx="274">
                  <c:v>0.61799999999999999</c:v>
                </c:pt>
                <c:pt idx="275">
                  <c:v>0.71699999999999997</c:v>
                </c:pt>
                <c:pt idx="276">
                  <c:v>0.76300000000000001</c:v>
                </c:pt>
                <c:pt idx="277">
                  <c:v>0.72</c:v>
                </c:pt>
                <c:pt idx="278">
                  <c:v>0.70099999999999996</c:v>
                </c:pt>
                <c:pt idx="279">
                  <c:v>0.71</c:v>
                </c:pt>
                <c:pt idx="280">
                  <c:v>0.73899999999999999</c:v>
                </c:pt>
                <c:pt idx="281">
                  <c:v>0.72899999999999998</c:v>
                </c:pt>
                <c:pt idx="282">
                  <c:v>0.72199999999999998</c:v>
                </c:pt>
                <c:pt idx="283">
                  <c:v>0.73099999999999998</c:v>
                </c:pt>
                <c:pt idx="284">
                  <c:v>0.71699999999999997</c:v>
                </c:pt>
                <c:pt idx="285">
                  <c:v>0.71699999999999997</c:v>
                </c:pt>
                <c:pt idx="286">
                  <c:v>0.67600000000000005</c:v>
                </c:pt>
                <c:pt idx="287">
                  <c:v>0.63700000000000001</c:v>
                </c:pt>
                <c:pt idx="288">
                  <c:v>0.623</c:v>
                </c:pt>
                <c:pt idx="289">
                  <c:v>0.63100000000000001</c:v>
                </c:pt>
                <c:pt idx="290">
                  <c:v>0.60499999999999998</c:v>
                </c:pt>
                <c:pt idx="291">
                  <c:v>0.55600000000000005</c:v>
                </c:pt>
                <c:pt idx="292">
                  <c:v>0.502</c:v>
                </c:pt>
                <c:pt idx="293">
                  <c:v>0.44800000000000001</c:v>
                </c:pt>
                <c:pt idx="294">
                  <c:v>0.44700000000000001</c:v>
                </c:pt>
                <c:pt idx="295">
                  <c:v>0.377</c:v>
                </c:pt>
                <c:pt idx="296">
                  <c:v>0.41099999999999998</c:v>
                </c:pt>
                <c:pt idx="297">
                  <c:v>0.36</c:v>
                </c:pt>
                <c:pt idx="298">
                  <c:v>0.375</c:v>
                </c:pt>
                <c:pt idx="299">
                  <c:v>0.47799999999999998</c:v>
                </c:pt>
                <c:pt idx="300">
                  <c:v>0.39500000000000002</c:v>
                </c:pt>
                <c:pt idx="301">
                  <c:v>0.40300000000000002</c:v>
                </c:pt>
                <c:pt idx="302">
                  <c:v>0.54100000000000004</c:v>
                </c:pt>
                <c:pt idx="303">
                  <c:v>0.47</c:v>
                </c:pt>
                <c:pt idx="304">
                  <c:v>0.503</c:v>
                </c:pt>
                <c:pt idx="305">
                  <c:v>0.49099999999999999</c:v>
                </c:pt>
                <c:pt idx="306">
                  <c:v>0.33900000000000002</c:v>
                </c:pt>
                <c:pt idx="307">
                  <c:v>0.28899999999999998</c:v>
                </c:pt>
                <c:pt idx="308">
                  <c:v>0.3</c:v>
                </c:pt>
                <c:pt idx="309">
                  <c:v>0.30299999999999999</c:v>
                </c:pt>
                <c:pt idx="310">
                  <c:v>0.311</c:v>
                </c:pt>
                <c:pt idx="311">
                  <c:v>0.28799999999999998</c:v>
                </c:pt>
                <c:pt idx="312">
                  <c:v>0.27800000000000002</c:v>
                </c:pt>
                <c:pt idx="313">
                  <c:v>0.28100000000000003</c:v>
                </c:pt>
                <c:pt idx="314">
                  <c:v>0.254</c:v>
                </c:pt>
                <c:pt idx="315">
                  <c:v>0.21099999999999999</c:v>
                </c:pt>
                <c:pt idx="316">
                  <c:v>0.23300000000000001</c:v>
                </c:pt>
                <c:pt idx="317">
                  <c:v>0.23499999999999999</c:v>
                </c:pt>
                <c:pt idx="318">
                  <c:v>0.247</c:v>
                </c:pt>
                <c:pt idx="319">
                  <c:v>0.25600000000000001</c:v>
                </c:pt>
                <c:pt idx="320">
                  <c:v>0.246</c:v>
                </c:pt>
                <c:pt idx="321">
                  <c:v>0.26200000000000001</c:v>
                </c:pt>
                <c:pt idx="322">
                  <c:v>0.25800000000000001</c:v>
                </c:pt>
                <c:pt idx="323">
                  <c:v>0.27</c:v>
                </c:pt>
                <c:pt idx="324">
                  <c:v>0.252</c:v>
                </c:pt>
                <c:pt idx="325">
                  <c:v>0.25900000000000001</c:v>
                </c:pt>
                <c:pt idx="326">
                  <c:v>0.26500000000000001</c:v>
                </c:pt>
                <c:pt idx="327">
                  <c:v>0.26</c:v>
                </c:pt>
                <c:pt idx="328">
                  <c:v>0.25700000000000001</c:v>
                </c:pt>
                <c:pt idx="329">
                  <c:v>0.26700000000000002</c:v>
                </c:pt>
                <c:pt idx="330">
                  <c:v>0.26500000000000001</c:v>
                </c:pt>
                <c:pt idx="331">
                  <c:v>0.26500000000000001</c:v>
                </c:pt>
                <c:pt idx="332">
                  <c:v>0.26100000000000001</c:v>
                </c:pt>
                <c:pt idx="333">
                  <c:v>0.25700000000000001</c:v>
                </c:pt>
                <c:pt idx="334">
                  <c:v>0.251</c:v>
                </c:pt>
                <c:pt idx="335">
                  <c:v>0.24399999999999999</c:v>
                </c:pt>
                <c:pt idx="336">
                  <c:v>0.24</c:v>
                </c:pt>
                <c:pt idx="337">
                  <c:v>0.24</c:v>
                </c:pt>
                <c:pt idx="338">
                  <c:v>0.253</c:v>
                </c:pt>
                <c:pt idx="339">
                  <c:v>0.249</c:v>
                </c:pt>
                <c:pt idx="340">
                  <c:v>0.23200000000000001</c:v>
                </c:pt>
                <c:pt idx="341">
                  <c:v>0.23400000000000001</c:v>
                </c:pt>
                <c:pt idx="342">
                  <c:v>0.23300000000000001</c:v>
                </c:pt>
                <c:pt idx="343">
                  <c:v>0.23699999999999999</c:v>
                </c:pt>
                <c:pt idx="344">
                  <c:v>0.23599999999999999</c:v>
                </c:pt>
                <c:pt idx="345">
                  <c:v>0.24299999999999999</c:v>
                </c:pt>
                <c:pt idx="346">
                  <c:v>0.246</c:v>
                </c:pt>
                <c:pt idx="347">
                  <c:v>0.25700000000000001</c:v>
                </c:pt>
                <c:pt idx="348">
                  <c:v>0.25600000000000001</c:v>
                </c:pt>
                <c:pt idx="349">
                  <c:v>0.249</c:v>
                </c:pt>
                <c:pt idx="350">
                  <c:v>0.252</c:v>
                </c:pt>
                <c:pt idx="351">
                  <c:v>0.255</c:v>
                </c:pt>
                <c:pt idx="352">
                  <c:v>0.25900000000000001</c:v>
                </c:pt>
                <c:pt idx="353">
                  <c:v>0.255</c:v>
                </c:pt>
                <c:pt idx="354">
                  <c:v>0.26</c:v>
                </c:pt>
                <c:pt idx="355">
                  <c:v>0.26200000000000001</c:v>
                </c:pt>
                <c:pt idx="356">
                  <c:v>0.25900000000000001</c:v>
                </c:pt>
                <c:pt idx="357">
                  <c:v>0.26</c:v>
                </c:pt>
                <c:pt idx="358">
                  <c:v>0.26900000000000002</c:v>
                </c:pt>
                <c:pt idx="359">
                  <c:v>0.27900000000000003</c:v>
                </c:pt>
                <c:pt idx="360">
                  <c:v>0.28199999999999997</c:v>
                </c:pt>
                <c:pt idx="361">
                  <c:v>0.27600000000000002</c:v>
                </c:pt>
                <c:pt idx="362">
                  <c:v>0.27300000000000002</c:v>
                </c:pt>
                <c:pt idx="363">
                  <c:v>0.255</c:v>
                </c:pt>
                <c:pt idx="364">
                  <c:v>0.255</c:v>
                </c:pt>
                <c:pt idx="365">
                  <c:v>0.251</c:v>
                </c:pt>
                <c:pt idx="366">
                  <c:v>0.25600000000000001</c:v>
                </c:pt>
                <c:pt idx="367">
                  <c:v>0.255</c:v>
                </c:pt>
                <c:pt idx="368">
                  <c:v>0.249</c:v>
                </c:pt>
                <c:pt idx="369">
                  <c:v>0.255</c:v>
                </c:pt>
                <c:pt idx="370">
                  <c:v>0.25700000000000001</c:v>
                </c:pt>
                <c:pt idx="371">
                  <c:v>0.26700000000000002</c:v>
                </c:pt>
                <c:pt idx="372">
                  <c:v>0.27100000000000002</c:v>
                </c:pt>
                <c:pt idx="373">
                  <c:v>0.26600000000000001</c:v>
                </c:pt>
                <c:pt idx="374">
                  <c:v>0.26100000000000001</c:v>
                </c:pt>
                <c:pt idx="375">
                  <c:v>0.26400000000000001</c:v>
                </c:pt>
                <c:pt idx="376">
                  <c:v>0.26200000000000001</c:v>
                </c:pt>
                <c:pt idx="377">
                  <c:v>0.27</c:v>
                </c:pt>
                <c:pt idx="378">
                  <c:v>0.26600000000000001</c:v>
                </c:pt>
                <c:pt idx="379">
                  <c:v>0.27</c:v>
                </c:pt>
                <c:pt idx="380">
                  <c:v>0.27200000000000002</c:v>
                </c:pt>
                <c:pt idx="381">
                  <c:v>0.26200000000000001</c:v>
                </c:pt>
                <c:pt idx="382">
                  <c:v>0.25900000000000001</c:v>
                </c:pt>
                <c:pt idx="383">
                  <c:v>0.26900000000000002</c:v>
                </c:pt>
                <c:pt idx="384">
                  <c:v>0.26800000000000002</c:v>
                </c:pt>
                <c:pt idx="385">
                  <c:v>0.28299999999999997</c:v>
                </c:pt>
                <c:pt idx="386">
                  <c:v>0.29299999999999998</c:v>
                </c:pt>
                <c:pt idx="387">
                  <c:v>0.28299999999999997</c:v>
                </c:pt>
                <c:pt idx="388">
                  <c:v>0.28299999999999997</c:v>
                </c:pt>
                <c:pt idx="389">
                  <c:v>0.27900000000000003</c:v>
                </c:pt>
                <c:pt idx="390">
                  <c:v>0.28399999999999997</c:v>
                </c:pt>
                <c:pt idx="391">
                  <c:v>0.28599999999999998</c:v>
                </c:pt>
                <c:pt idx="392">
                  <c:v>0.29099999999999998</c:v>
                </c:pt>
                <c:pt idx="393">
                  <c:v>0.28499999999999998</c:v>
                </c:pt>
                <c:pt idx="394">
                  <c:v>0.28000000000000003</c:v>
                </c:pt>
                <c:pt idx="395">
                  <c:v>0.28499999999999998</c:v>
                </c:pt>
                <c:pt idx="396">
                  <c:v>0.28999999999999998</c:v>
                </c:pt>
                <c:pt idx="397">
                  <c:v>0.28599999999999998</c:v>
                </c:pt>
                <c:pt idx="398">
                  <c:v>0.28100000000000003</c:v>
                </c:pt>
                <c:pt idx="399">
                  <c:v>0.27600000000000002</c:v>
                </c:pt>
                <c:pt idx="400">
                  <c:v>0.28100000000000003</c:v>
                </c:pt>
                <c:pt idx="401">
                  <c:v>0.26400000000000001</c:v>
                </c:pt>
                <c:pt idx="402">
                  <c:v>0.26500000000000001</c:v>
                </c:pt>
                <c:pt idx="403">
                  <c:v>0.27</c:v>
                </c:pt>
                <c:pt idx="404">
                  <c:v>0.26600000000000001</c:v>
                </c:pt>
                <c:pt idx="405">
                  <c:v>0.26900000000000002</c:v>
                </c:pt>
                <c:pt idx="406">
                  <c:v>0.27300000000000002</c:v>
                </c:pt>
                <c:pt idx="407">
                  <c:v>0.26700000000000002</c:v>
                </c:pt>
                <c:pt idx="408">
                  <c:v>0.26300000000000001</c:v>
                </c:pt>
                <c:pt idx="409">
                  <c:v>0.26700000000000002</c:v>
                </c:pt>
                <c:pt idx="410">
                  <c:v>0.27</c:v>
                </c:pt>
                <c:pt idx="411">
                  <c:v>0.26800000000000002</c:v>
                </c:pt>
                <c:pt idx="412">
                  <c:v>0.26800000000000002</c:v>
                </c:pt>
                <c:pt idx="413">
                  <c:v>0.26700000000000002</c:v>
                </c:pt>
                <c:pt idx="414">
                  <c:v>0.26700000000000002</c:v>
                </c:pt>
                <c:pt idx="415">
                  <c:v>0.26800000000000002</c:v>
                </c:pt>
                <c:pt idx="416">
                  <c:v>0.26800000000000002</c:v>
                </c:pt>
                <c:pt idx="417">
                  <c:v>0.28100000000000003</c:v>
                </c:pt>
                <c:pt idx="418">
                  <c:v>0.27500000000000002</c:v>
                </c:pt>
                <c:pt idx="419">
                  <c:v>0.28000000000000003</c:v>
                </c:pt>
                <c:pt idx="420">
                  <c:v>0.27600000000000002</c:v>
                </c:pt>
                <c:pt idx="421">
                  <c:v>0.27100000000000002</c:v>
                </c:pt>
                <c:pt idx="422">
                  <c:v>0.26600000000000001</c:v>
                </c:pt>
                <c:pt idx="423">
                  <c:v>0.26500000000000001</c:v>
                </c:pt>
                <c:pt idx="424">
                  <c:v>0.26400000000000001</c:v>
                </c:pt>
                <c:pt idx="425">
                  <c:v>0.27200000000000002</c:v>
                </c:pt>
                <c:pt idx="426">
                  <c:v>0.27200000000000002</c:v>
                </c:pt>
                <c:pt idx="427">
                  <c:v>0.255</c:v>
                </c:pt>
                <c:pt idx="428">
                  <c:v>0.255</c:v>
                </c:pt>
                <c:pt idx="429">
                  <c:v>0.25600000000000001</c:v>
                </c:pt>
                <c:pt idx="430">
                  <c:v>0.24299999999999999</c:v>
                </c:pt>
                <c:pt idx="431">
                  <c:v>0.23799999999999999</c:v>
                </c:pt>
                <c:pt idx="432">
                  <c:v>0.23400000000000001</c:v>
                </c:pt>
                <c:pt idx="433">
                  <c:v>0.22700000000000001</c:v>
                </c:pt>
                <c:pt idx="434">
                  <c:v>0.24299999999999999</c:v>
                </c:pt>
                <c:pt idx="435">
                  <c:v>0.23699999999999999</c:v>
                </c:pt>
                <c:pt idx="436">
                  <c:v>0.219</c:v>
                </c:pt>
                <c:pt idx="437">
                  <c:v>0.189</c:v>
                </c:pt>
                <c:pt idx="438">
                  <c:v>0.17399999999999999</c:v>
                </c:pt>
                <c:pt idx="439">
                  <c:v>0.17399999999999999</c:v>
                </c:pt>
                <c:pt idx="440">
                  <c:v>0.16300000000000001</c:v>
                </c:pt>
                <c:pt idx="441">
                  <c:v>0.16800000000000001</c:v>
                </c:pt>
                <c:pt idx="442">
                  <c:v>0.17199999999999999</c:v>
                </c:pt>
                <c:pt idx="443">
                  <c:v>0.19</c:v>
                </c:pt>
                <c:pt idx="444">
                  <c:v>0.17499999999999999</c:v>
                </c:pt>
                <c:pt idx="445">
                  <c:v>0.16900000000000001</c:v>
                </c:pt>
                <c:pt idx="446">
                  <c:v>0.14199999999999999</c:v>
                </c:pt>
                <c:pt idx="447">
                  <c:v>0.14399999999999999</c:v>
                </c:pt>
                <c:pt idx="448">
                  <c:v>0.14399999999999999</c:v>
                </c:pt>
                <c:pt idx="449">
                  <c:v>0.14499999999999999</c:v>
                </c:pt>
                <c:pt idx="450">
                  <c:v>0.14499999999999999</c:v>
                </c:pt>
                <c:pt idx="451">
                  <c:v>0.151</c:v>
                </c:pt>
                <c:pt idx="452">
                  <c:v>0.14099999999999999</c:v>
                </c:pt>
                <c:pt idx="453">
                  <c:v>0.129</c:v>
                </c:pt>
                <c:pt idx="454">
                  <c:v>0.13700000000000001</c:v>
                </c:pt>
                <c:pt idx="455">
                  <c:v>0.13200000000000001</c:v>
                </c:pt>
                <c:pt idx="456">
                  <c:v>0.13600000000000001</c:v>
                </c:pt>
                <c:pt idx="457">
                  <c:v>0.13200000000000001</c:v>
                </c:pt>
                <c:pt idx="458">
                  <c:v>0.13600000000000001</c:v>
                </c:pt>
                <c:pt idx="459">
                  <c:v>0.13</c:v>
                </c:pt>
                <c:pt idx="460">
                  <c:v>0.123</c:v>
                </c:pt>
                <c:pt idx="461">
                  <c:v>0.13100000000000001</c:v>
                </c:pt>
                <c:pt idx="462">
                  <c:v>0.13</c:v>
                </c:pt>
                <c:pt idx="463">
                  <c:v>0.13</c:v>
                </c:pt>
                <c:pt idx="464">
                  <c:v>0.128</c:v>
                </c:pt>
                <c:pt idx="465">
                  <c:v>0.105</c:v>
                </c:pt>
                <c:pt idx="466">
                  <c:v>0.111</c:v>
                </c:pt>
                <c:pt idx="467">
                  <c:v>0.113</c:v>
                </c:pt>
                <c:pt idx="468">
                  <c:v>0.11700000000000001</c:v>
                </c:pt>
                <c:pt idx="469">
                  <c:v>0.109</c:v>
                </c:pt>
                <c:pt idx="470">
                  <c:v>0.11799999999999999</c:v>
                </c:pt>
                <c:pt idx="471">
                  <c:v>0.124</c:v>
                </c:pt>
                <c:pt idx="472">
                  <c:v>0.109</c:v>
                </c:pt>
                <c:pt idx="473">
                  <c:v>0.11700000000000001</c:v>
                </c:pt>
                <c:pt idx="474">
                  <c:v>0.106</c:v>
                </c:pt>
                <c:pt idx="475">
                  <c:v>0.111</c:v>
                </c:pt>
                <c:pt idx="476">
                  <c:v>0.108</c:v>
                </c:pt>
                <c:pt idx="477">
                  <c:v>0.108</c:v>
                </c:pt>
                <c:pt idx="478">
                  <c:v>0.107</c:v>
                </c:pt>
                <c:pt idx="479">
                  <c:v>0.106</c:v>
                </c:pt>
                <c:pt idx="480">
                  <c:v>0.11</c:v>
                </c:pt>
                <c:pt idx="481">
                  <c:v>0.112</c:v>
                </c:pt>
                <c:pt idx="482">
                  <c:v>0.108</c:v>
                </c:pt>
                <c:pt idx="483">
                  <c:v>0.107</c:v>
                </c:pt>
                <c:pt idx="484">
                  <c:v>0.11</c:v>
                </c:pt>
                <c:pt idx="485">
                  <c:v>0.114</c:v>
                </c:pt>
                <c:pt idx="486">
                  <c:v>0.11899999999999999</c:v>
                </c:pt>
                <c:pt idx="487">
                  <c:v>0.11600000000000001</c:v>
                </c:pt>
                <c:pt idx="488">
                  <c:v>0.11600000000000001</c:v>
                </c:pt>
                <c:pt idx="489">
                  <c:v>0.114</c:v>
                </c:pt>
                <c:pt idx="490">
                  <c:v>0.114</c:v>
                </c:pt>
                <c:pt idx="491">
                  <c:v>0.126</c:v>
                </c:pt>
                <c:pt idx="492">
                  <c:v>0.105</c:v>
                </c:pt>
                <c:pt idx="493">
                  <c:v>0.105</c:v>
                </c:pt>
                <c:pt idx="494">
                  <c:v>0.10100000000000001</c:v>
                </c:pt>
                <c:pt idx="495">
                  <c:v>0.105</c:v>
                </c:pt>
                <c:pt idx="496">
                  <c:v>0.106</c:v>
                </c:pt>
                <c:pt idx="497">
                  <c:v>0.106</c:v>
                </c:pt>
                <c:pt idx="498">
                  <c:v>0.108</c:v>
                </c:pt>
                <c:pt idx="499">
                  <c:v>0.1</c:v>
                </c:pt>
                <c:pt idx="500">
                  <c:v>9.9000000000000005E-2</c:v>
                </c:pt>
                <c:pt idx="501">
                  <c:v>0.10100000000000001</c:v>
                </c:pt>
                <c:pt idx="502">
                  <c:v>0.1</c:v>
                </c:pt>
                <c:pt idx="503">
                  <c:v>9.8000000000000004E-2</c:v>
                </c:pt>
                <c:pt idx="504">
                  <c:v>9.8000000000000004E-2</c:v>
                </c:pt>
                <c:pt idx="505">
                  <c:v>9.5000000000000001E-2</c:v>
                </c:pt>
                <c:pt idx="506">
                  <c:v>0.1</c:v>
                </c:pt>
                <c:pt idx="507">
                  <c:v>0.10299999999999999</c:v>
                </c:pt>
                <c:pt idx="508">
                  <c:v>0.123</c:v>
                </c:pt>
                <c:pt idx="509">
                  <c:v>0.106</c:v>
                </c:pt>
                <c:pt idx="510">
                  <c:v>0.106</c:v>
                </c:pt>
                <c:pt idx="511">
                  <c:v>0.105</c:v>
                </c:pt>
                <c:pt idx="512">
                  <c:v>0.107</c:v>
                </c:pt>
                <c:pt idx="513">
                  <c:v>0.108</c:v>
                </c:pt>
                <c:pt idx="514">
                  <c:v>0.105</c:v>
                </c:pt>
                <c:pt idx="515">
                  <c:v>0.10100000000000001</c:v>
                </c:pt>
                <c:pt idx="516">
                  <c:v>0.10100000000000001</c:v>
                </c:pt>
                <c:pt idx="517">
                  <c:v>0.104</c:v>
                </c:pt>
                <c:pt idx="518">
                  <c:v>0.104</c:v>
                </c:pt>
                <c:pt idx="519">
                  <c:v>0.104</c:v>
                </c:pt>
                <c:pt idx="520">
                  <c:v>0.109</c:v>
                </c:pt>
                <c:pt idx="521">
                  <c:v>0.104</c:v>
                </c:pt>
                <c:pt idx="522">
                  <c:v>0.107</c:v>
                </c:pt>
                <c:pt idx="523">
                  <c:v>0.106</c:v>
                </c:pt>
                <c:pt idx="524">
                  <c:v>0.107</c:v>
                </c:pt>
                <c:pt idx="525">
                  <c:v>0.11</c:v>
                </c:pt>
                <c:pt idx="526">
                  <c:v>0.11</c:v>
                </c:pt>
                <c:pt idx="527">
                  <c:v>0.106</c:v>
                </c:pt>
                <c:pt idx="528">
                  <c:v>0.109</c:v>
                </c:pt>
                <c:pt idx="529">
                  <c:v>0.106</c:v>
                </c:pt>
                <c:pt idx="530">
                  <c:v>0.10299999999999999</c:v>
                </c:pt>
                <c:pt idx="531">
                  <c:v>0.10299999999999999</c:v>
                </c:pt>
                <c:pt idx="532">
                  <c:v>0.10100000000000001</c:v>
                </c:pt>
                <c:pt idx="533">
                  <c:v>0.1</c:v>
                </c:pt>
                <c:pt idx="534">
                  <c:v>0.104</c:v>
                </c:pt>
                <c:pt idx="535">
                  <c:v>0.107</c:v>
                </c:pt>
                <c:pt idx="536">
                  <c:v>0.108</c:v>
                </c:pt>
                <c:pt idx="537">
                  <c:v>0.115</c:v>
                </c:pt>
                <c:pt idx="538">
                  <c:v>0.115</c:v>
                </c:pt>
                <c:pt idx="539">
                  <c:v>0.121</c:v>
                </c:pt>
                <c:pt idx="540">
                  <c:v>0.126</c:v>
                </c:pt>
                <c:pt idx="541">
                  <c:v>0.123</c:v>
                </c:pt>
                <c:pt idx="542">
                  <c:v>0.124</c:v>
                </c:pt>
                <c:pt idx="543">
                  <c:v>0.11899999999999999</c:v>
                </c:pt>
                <c:pt idx="544">
                  <c:v>0.115</c:v>
                </c:pt>
                <c:pt idx="545">
                  <c:v>0.11899999999999999</c:v>
                </c:pt>
                <c:pt idx="546">
                  <c:v>0.112</c:v>
                </c:pt>
                <c:pt idx="547">
                  <c:v>0.111</c:v>
                </c:pt>
                <c:pt idx="548">
                  <c:v>0.126</c:v>
                </c:pt>
                <c:pt idx="549">
                  <c:v>0.128</c:v>
                </c:pt>
                <c:pt idx="550">
                  <c:v>0.129</c:v>
                </c:pt>
                <c:pt idx="551">
                  <c:v>0.107</c:v>
                </c:pt>
                <c:pt idx="552">
                  <c:v>9.6000000000000002E-2</c:v>
                </c:pt>
                <c:pt idx="553">
                  <c:v>8.7999999999999995E-2</c:v>
                </c:pt>
                <c:pt idx="554">
                  <c:v>9.7000000000000003E-2</c:v>
                </c:pt>
                <c:pt idx="555">
                  <c:v>8.5999999999999993E-2</c:v>
                </c:pt>
                <c:pt idx="556">
                  <c:v>8.5999999999999993E-2</c:v>
                </c:pt>
                <c:pt idx="557">
                  <c:v>8.4000000000000005E-2</c:v>
                </c:pt>
                <c:pt idx="558">
                  <c:v>9.6000000000000002E-2</c:v>
                </c:pt>
                <c:pt idx="559">
                  <c:v>0.10199999999999999</c:v>
                </c:pt>
                <c:pt idx="560">
                  <c:v>0.10199999999999999</c:v>
                </c:pt>
                <c:pt idx="561">
                  <c:v>0.10299999999999999</c:v>
                </c:pt>
                <c:pt idx="562">
                  <c:v>0.1</c:v>
                </c:pt>
                <c:pt idx="563">
                  <c:v>9.5000000000000001E-2</c:v>
                </c:pt>
                <c:pt idx="564">
                  <c:v>9.1999999999999998E-2</c:v>
                </c:pt>
                <c:pt idx="565">
                  <c:v>9.6000000000000002E-2</c:v>
                </c:pt>
                <c:pt idx="566">
                  <c:v>0.106</c:v>
                </c:pt>
                <c:pt idx="567">
                  <c:v>0.107</c:v>
                </c:pt>
                <c:pt idx="568">
                  <c:v>0.105</c:v>
                </c:pt>
                <c:pt idx="569">
                  <c:v>0.105</c:v>
                </c:pt>
                <c:pt idx="570">
                  <c:v>0.105</c:v>
                </c:pt>
                <c:pt idx="571">
                  <c:v>0.104</c:v>
                </c:pt>
                <c:pt idx="572">
                  <c:v>0.10199999999999999</c:v>
                </c:pt>
                <c:pt idx="573">
                  <c:v>0.10100000000000001</c:v>
                </c:pt>
                <c:pt idx="574">
                  <c:v>0.10299999999999999</c:v>
                </c:pt>
                <c:pt idx="575">
                  <c:v>0.10199999999999999</c:v>
                </c:pt>
                <c:pt idx="576">
                  <c:v>0.10299999999999999</c:v>
                </c:pt>
                <c:pt idx="577">
                  <c:v>0.10299999999999999</c:v>
                </c:pt>
                <c:pt idx="578">
                  <c:v>0.10199999999999999</c:v>
                </c:pt>
                <c:pt idx="579">
                  <c:v>0.10100000000000001</c:v>
                </c:pt>
                <c:pt idx="580">
                  <c:v>0.10100000000000001</c:v>
                </c:pt>
                <c:pt idx="581">
                  <c:v>0.10199999999999999</c:v>
                </c:pt>
                <c:pt idx="582">
                  <c:v>0.10199999999999999</c:v>
                </c:pt>
                <c:pt idx="583">
                  <c:v>0.108</c:v>
                </c:pt>
                <c:pt idx="584">
                  <c:v>0.11</c:v>
                </c:pt>
                <c:pt idx="585">
                  <c:v>0.113</c:v>
                </c:pt>
                <c:pt idx="586">
                  <c:v>0.113</c:v>
                </c:pt>
                <c:pt idx="587">
                  <c:v>0.107</c:v>
                </c:pt>
                <c:pt idx="588">
                  <c:v>0.107</c:v>
                </c:pt>
                <c:pt idx="589">
                  <c:v>0.109</c:v>
                </c:pt>
                <c:pt idx="590">
                  <c:v>0.111</c:v>
                </c:pt>
                <c:pt idx="591">
                  <c:v>0.109</c:v>
                </c:pt>
                <c:pt idx="592">
                  <c:v>0.10299999999999999</c:v>
                </c:pt>
                <c:pt idx="593">
                  <c:v>0.104</c:v>
                </c:pt>
                <c:pt idx="594">
                  <c:v>9.9000000000000005E-2</c:v>
                </c:pt>
                <c:pt idx="595">
                  <c:v>0.107</c:v>
                </c:pt>
                <c:pt idx="596">
                  <c:v>0.108</c:v>
                </c:pt>
                <c:pt idx="597">
                  <c:v>0.109</c:v>
                </c:pt>
                <c:pt idx="598">
                  <c:v>0.111</c:v>
                </c:pt>
                <c:pt idx="599">
                  <c:v>0.109</c:v>
                </c:pt>
                <c:pt idx="600">
                  <c:v>0.108</c:v>
                </c:pt>
                <c:pt idx="601">
                  <c:v>0.109</c:v>
                </c:pt>
                <c:pt idx="602">
                  <c:v>0.106</c:v>
                </c:pt>
                <c:pt idx="603">
                  <c:v>0.10299999999999999</c:v>
                </c:pt>
                <c:pt idx="604">
                  <c:v>9.8000000000000004E-2</c:v>
                </c:pt>
                <c:pt idx="605">
                  <c:v>0.104</c:v>
                </c:pt>
                <c:pt idx="606">
                  <c:v>9.8000000000000004E-2</c:v>
                </c:pt>
                <c:pt idx="607">
                  <c:v>0.104</c:v>
                </c:pt>
                <c:pt idx="608">
                  <c:v>0.10100000000000001</c:v>
                </c:pt>
                <c:pt idx="609">
                  <c:v>9.6000000000000002E-2</c:v>
                </c:pt>
                <c:pt idx="610">
                  <c:v>9.8000000000000004E-2</c:v>
                </c:pt>
                <c:pt idx="611">
                  <c:v>8.8999999999999996E-2</c:v>
                </c:pt>
                <c:pt idx="612">
                  <c:v>0.106</c:v>
                </c:pt>
                <c:pt idx="613">
                  <c:v>0.111</c:v>
                </c:pt>
                <c:pt idx="614">
                  <c:v>0.114</c:v>
                </c:pt>
                <c:pt idx="615">
                  <c:v>0.106</c:v>
                </c:pt>
                <c:pt idx="616">
                  <c:v>8.8999999999999996E-2</c:v>
                </c:pt>
                <c:pt idx="617">
                  <c:v>8.3000000000000004E-2</c:v>
                </c:pt>
                <c:pt idx="618">
                  <c:v>8.7999999999999995E-2</c:v>
                </c:pt>
                <c:pt idx="619">
                  <c:v>9.5000000000000001E-2</c:v>
                </c:pt>
                <c:pt idx="620">
                  <c:v>0.14899999999999999</c:v>
                </c:pt>
                <c:pt idx="621">
                  <c:v>0.184</c:v>
                </c:pt>
                <c:pt idx="622">
                  <c:v>0.20300000000000001</c:v>
                </c:pt>
                <c:pt idx="623">
                  <c:v>0.20300000000000001</c:v>
                </c:pt>
                <c:pt idx="624">
                  <c:v>0.19800000000000001</c:v>
                </c:pt>
                <c:pt idx="625">
                  <c:v>0.193</c:v>
                </c:pt>
                <c:pt idx="626">
                  <c:v>0.20899999999999999</c:v>
                </c:pt>
                <c:pt idx="627">
                  <c:v>0.20200000000000001</c:v>
                </c:pt>
                <c:pt idx="628">
                  <c:v>0.19900000000000001</c:v>
                </c:pt>
                <c:pt idx="629">
                  <c:v>0.19700000000000001</c:v>
                </c:pt>
                <c:pt idx="630">
                  <c:v>0.19400000000000001</c:v>
                </c:pt>
                <c:pt idx="631">
                  <c:v>0.186</c:v>
                </c:pt>
                <c:pt idx="632">
                  <c:v>0.185</c:v>
                </c:pt>
                <c:pt idx="633">
                  <c:v>0.224</c:v>
                </c:pt>
                <c:pt idx="634">
                  <c:v>0.20699999999999999</c:v>
                </c:pt>
                <c:pt idx="635">
                  <c:v>0.189</c:v>
                </c:pt>
                <c:pt idx="636">
                  <c:v>0.187</c:v>
                </c:pt>
                <c:pt idx="637">
                  <c:v>0.16600000000000001</c:v>
                </c:pt>
                <c:pt idx="638">
                  <c:v>0.16600000000000001</c:v>
                </c:pt>
                <c:pt idx="639">
                  <c:v>0.161</c:v>
                </c:pt>
                <c:pt idx="640">
                  <c:v>0.14899999999999999</c:v>
                </c:pt>
                <c:pt idx="641">
                  <c:v>0.151</c:v>
                </c:pt>
                <c:pt idx="642">
                  <c:v>0.14399999999999999</c:v>
                </c:pt>
                <c:pt idx="643">
                  <c:v>0.122</c:v>
                </c:pt>
                <c:pt idx="644">
                  <c:v>0.11899999999999999</c:v>
                </c:pt>
                <c:pt idx="645">
                  <c:v>0.128</c:v>
                </c:pt>
                <c:pt idx="646">
                  <c:v>0.13300000000000001</c:v>
                </c:pt>
                <c:pt idx="647">
                  <c:v>0.13700000000000001</c:v>
                </c:pt>
                <c:pt idx="648">
                  <c:v>0.13800000000000001</c:v>
                </c:pt>
                <c:pt idx="649">
                  <c:v>0.126</c:v>
                </c:pt>
                <c:pt idx="650">
                  <c:v>0.124</c:v>
                </c:pt>
                <c:pt idx="651">
                  <c:v>0.13100000000000001</c:v>
                </c:pt>
                <c:pt idx="652">
                  <c:v>0.14099999999999999</c:v>
                </c:pt>
                <c:pt idx="653">
                  <c:v>0.14299999999999999</c:v>
                </c:pt>
                <c:pt idx="654">
                  <c:v>0.152</c:v>
                </c:pt>
                <c:pt idx="655">
                  <c:v>0.17</c:v>
                </c:pt>
                <c:pt idx="656">
                  <c:v>0.18099999999999999</c:v>
                </c:pt>
                <c:pt idx="657">
                  <c:v>0.185</c:v>
                </c:pt>
                <c:pt idx="658">
                  <c:v>0.19</c:v>
                </c:pt>
                <c:pt idx="659">
                  <c:v>0.17899999999999999</c:v>
                </c:pt>
                <c:pt idx="660">
                  <c:v>0.183</c:v>
                </c:pt>
                <c:pt idx="661">
                  <c:v>0.157</c:v>
                </c:pt>
                <c:pt idx="662">
                  <c:v>0.14099999999999999</c:v>
                </c:pt>
                <c:pt idx="663">
                  <c:v>0.13300000000000001</c:v>
                </c:pt>
                <c:pt idx="664">
                  <c:v>0.11600000000000001</c:v>
                </c:pt>
                <c:pt idx="665">
                  <c:v>0.10299999999999999</c:v>
                </c:pt>
                <c:pt idx="666">
                  <c:v>0.112</c:v>
                </c:pt>
                <c:pt idx="667">
                  <c:v>0.13300000000000001</c:v>
                </c:pt>
                <c:pt idx="668">
                  <c:v>0.14599999999999999</c:v>
                </c:pt>
                <c:pt idx="669">
                  <c:v>0.159</c:v>
                </c:pt>
                <c:pt idx="670">
                  <c:v>0.16800000000000001</c:v>
                </c:pt>
                <c:pt idx="671">
                  <c:v>0.14599999999999999</c:v>
                </c:pt>
                <c:pt idx="672">
                  <c:v>0.15</c:v>
                </c:pt>
                <c:pt idx="673">
                  <c:v>0.18</c:v>
                </c:pt>
                <c:pt idx="674">
                  <c:v>0.17299999999999999</c:v>
                </c:pt>
                <c:pt idx="675">
                  <c:v>0.17699999999999999</c:v>
                </c:pt>
                <c:pt idx="676">
                  <c:v>0.184</c:v>
                </c:pt>
                <c:pt idx="677">
                  <c:v>0.187</c:v>
                </c:pt>
                <c:pt idx="678">
                  <c:v>0.19500000000000001</c:v>
                </c:pt>
                <c:pt idx="679">
                  <c:v>0.192</c:v>
                </c:pt>
                <c:pt idx="680">
                  <c:v>0.17599999999999999</c:v>
                </c:pt>
                <c:pt idx="681">
                  <c:v>0.17499999999999999</c:v>
                </c:pt>
                <c:pt idx="682">
                  <c:v>0.152</c:v>
                </c:pt>
                <c:pt idx="683">
                  <c:v>0.13700000000000001</c:v>
                </c:pt>
                <c:pt idx="684">
                  <c:v>0.157</c:v>
                </c:pt>
                <c:pt idx="685">
                  <c:v>0.17100000000000001</c:v>
                </c:pt>
                <c:pt idx="686">
                  <c:v>0.17299999999999999</c:v>
                </c:pt>
                <c:pt idx="687">
                  <c:v>0.16200000000000001</c:v>
                </c:pt>
                <c:pt idx="688">
                  <c:v>0.161</c:v>
                </c:pt>
                <c:pt idx="689">
                  <c:v>0.17699999999999999</c:v>
                </c:pt>
                <c:pt idx="690">
                  <c:v>0.218</c:v>
                </c:pt>
                <c:pt idx="691">
                  <c:v>0.219</c:v>
                </c:pt>
                <c:pt idx="692">
                  <c:v>0.23899999999999999</c:v>
                </c:pt>
                <c:pt idx="693">
                  <c:v>0.23300000000000001</c:v>
                </c:pt>
                <c:pt idx="694">
                  <c:v>0.24399999999999999</c:v>
                </c:pt>
                <c:pt idx="695">
                  <c:v>0.26300000000000001</c:v>
                </c:pt>
                <c:pt idx="696">
                  <c:v>0.28599999999999998</c:v>
                </c:pt>
                <c:pt idx="697">
                  <c:v>0.32100000000000001</c:v>
                </c:pt>
                <c:pt idx="698">
                  <c:v>0.35199999999999998</c:v>
                </c:pt>
                <c:pt idx="699">
                  <c:v>0.39100000000000001</c:v>
                </c:pt>
                <c:pt idx="700">
                  <c:v>0.48599999999999999</c:v>
                </c:pt>
                <c:pt idx="701">
                  <c:v>0.48499999999999999</c:v>
                </c:pt>
                <c:pt idx="702">
                  <c:v>0.46899999999999997</c:v>
                </c:pt>
                <c:pt idx="703">
                  <c:v>0.47199999999999998</c:v>
                </c:pt>
                <c:pt idx="704">
                  <c:v>0.504</c:v>
                </c:pt>
                <c:pt idx="705">
                  <c:v>0.67900000000000005</c:v>
                </c:pt>
                <c:pt idx="706">
                  <c:v>0.66700000000000004</c:v>
                </c:pt>
                <c:pt idx="707">
                  <c:v>0.66300000000000003</c:v>
                </c:pt>
                <c:pt idx="708">
                  <c:v>0.63700000000000001</c:v>
                </c:pt>
                <c:pt idx="709">
                  <c:v>0.64500000000000002</c:v>
                </c:pt>
                <c:pt idx="710">
                  <c:v>0.66100000000000003</c:v>
                </c:pt>
                <c:pt idx="711">
                  <c:v>0.69399999999999995</c:v>
                </c:pt>
                <c:pt idx="712">
                  <c:v>0.84</c:v>
                </c:pt>
                <c:pt idx="713">
                  <c:v>1.0529999999999999</c:v>
                </c:pt>
                <c:pt idx="714">
                  <c:v>1.17</c:v>
                </c:pt>
                <c:pt idx="715">
                  <c:v>0.97899999999999998</c:v>
                </c:pt>
                <c:pt idx="716">
                  <c:v>0.92700000000000005</c:v>
                </c:pt>
                <c:pt idx="717">
                  <c:v>0.89900000000000002</c:v>
                </c:pt>
                <c:pt idx="718">
                  <c:v>0.94499999999999995</c:v>
                </c:pt>
                <c:pt idx="719">
                  <c:v>0.90500000000000003</c:v>
                </c:pt>
                <c:pt idx="720">
                  <c:v>0.84299999999999997</c:v>
                </c:pt>
                <c:pt idx="721">
                  <c:v>0.86</c:v>
                </c:pt>
                <c:pt idx="722">
                  <c:v>0.873</c:v>
                </c:pt>
                <c:pt idx="723">
                  <c:v>0.996</c:v>
                </c:pt>
                <c:pt idx="724">
                  <c:v>1.0149999999999999</c:v>
                </c:pt>
                <c:pt idx="725">
                  <c:v>0.96</c:v>
                </c:pt>
                <c:pt idx="726">
                  <c:v>1.012</c:v>
                </c:pt>
                <c:pt idx="727">
                  <c:v>0.98299999999999998</c:v>
                </c:pt>
                <c:pt idx="728">
                  <c:v>0.95699999999999996</c:v>
                </c:pt>
                <c:pt idx="729">
                  <c:v>0.95499999999999996</c:v>
                </c:pt>
                <c:pt idx="730">
                  <c:v>0.96199999999999997</c:v>
                </c:pt>
                <c:pt idx="731">
                  <c:v>1.0129999999999999</c:v>
                </c:pt>
                <c:pt idx="732">
                  <c:v>0.98699999999999999</c:v>
                </c:pt>
                <c:pt idx="733">
                  <c:v>1.0329999999999999</c:v>
                </c:pt>
                <c:pt idx="734">
                  <c:v>0.92400000000000004</c:v>
                </c:pt>
                <c:pt idx="735">
                  <c:v>0.91300000000000003</c:v>
                </c:pt>
                <c:pt idx="736">
                  <c:v>0.871</c:v>
                </c:pt>
                <c:pt idx="737">
                  <c:v>0.93300000000000005</c:v>
                </c:pt>
                <c:pt idx="738">
                  <c:v>0.93899999999999995</c:v>
                </c:pt>
                <c:pt idx="739">
                  <c:v>0.91100000000000003</c:v>
                </c:pt>
                <c:pt idx="740">
                  <c:v>0.88900000000000001</c:v>
                </c:pt>
                <c:pt idx="741">
                  <c:v>0.97599999999999998</c:v>
                </c:pt>
                <c:pt idx="742">
                  <c:v>0.97799999999999998</c:v>
                </c:pt>
                <c:pt idx="743">
                  <c:v>0.97199999999999998</c:v>
                </c:pt>
                <c:pt idx="744">
                  <c:v>0.94399999999999995</c:v>
                </c:pt>
                <c:pt idx="745">
                  <c:v>0.92</c:v>
                </c:pt>
                <c:pt idx="746">
                  <c:v>0.88400000000000001</c:v>
                </c:pt>
                <c:pt idx="747">
                  <c:v>0.93799999999999994</c:v>
                </c:pt>
                <c:pt idx="748">
                  <c:v>1.0029999999999999</c:v>
                </c:pt>
                <c:pt idx="749">
                  <c:v>0.997</c:v>
                </c:pt>
                <c:pt idx="750">
                  <c:v>0.95899999999999996</c:v>
                </c:pt>
                <c:pt idx="751">
                  <c:v>0.96499999999999997</c:v>
                </c:pt>
                <c:pt idx="752">
                  <c:v>0.88700000000000001</c:v>
                </c:pt>
                <c:pt idx="753">
                  <c:v>0.90200000000000002</c:v>
                </c:pt>
                <c:pt idx="754">
                  <c:v>0.90500000000000003</c:v>
                </c:pt>
                <c:pt idx="755">
                  <c:v>0.85799999999999998</c:v>
                </c:pt>
                <c:pt idx="756">
                  <c:v>0.92100000000000004</c:v>
                </c:pt>
                <c:pt idx="757">
                  <c:v>0.95099999999999996</c:v>
                </c:pt>
                <c:pt idx="758">
                  <c:v>1.008</c:v>
                </c:pt>
                <c:pt idx="759">
                  <c:v>1.01</c:v>
                </c:pt>
                <c:pt idx="760">
                  <c:v>1.0680000000000001</c:v>
                </c:pt>
                <c:pt idx="761">
                  <c:v>1.0409999999999999</c:v>
                </c:pt>
                <c:pt idx="762">
                  <c:v>1.0629999999999999</c:v>
                </c:pt>
                <c:pt idx="763">
                  <c:v>1.046</c:v>
                </c:pt>
                <c:pt idx="764">
                  <c:v>1.028</c:v>
                </c:pt>
                <c:pt idx="765">
                  <c:v>1.044</c:v>
                </c:pt>
                <c:pt idx="766">
                  <c:v>1.0840000000000001</c:v>
                </c:pt>
                <c:pt idx="767">
                  <c:v>1.1399999999999999</c:v>
                </c:pt>
                <c:pt idx="768">
                  <c:v>1.1850000000000001</c:v>
                </c:pt>
                <c:pt idx="769">
                  <c:v>1.228</c:v>
                </c:pt>
                <c:pt idx="770">
                  <c:v>1.266</c:v>
                </c:pt>
                <c:pt idx="771">
                  <c:v>1.1970000000000001</c:v>
                </c:pt>
                <c:pt idx="772">
                  <c:v>1.2350000000000001</c:v>
                </c:pt>
                <c:pt idx="773">
                  <c:v>1.29</c:v>
                </c:pt>
                <c:pt idx="774">
                  <c:v>1.3660000000000001</c:v>
                </c:pt>
                <c:pt idx="775">
                  <c:v>1.306</c:v>
                </c:pt>
                <c:pt idx="776">
                  <c:v>1.2130000000000001</c:v>
                </c:pt>
                <c:pt idx="777">
                  <c:v>1.232</c:v>
                </c:pt>
                <c:pt idx="778">
                  <c:v>1.242</c:v>
                </c:pt>
                <c:pt idx="779">
                  <c:v>1.224</c:v>
                </c:pt>
                <c:pt idx="780">
                  <c:v>1.31</c:v>
                </c:pt>
                <c:pt idx="781">
                  <c:v>1.3879999999999999</c:v>
                </c:pt>
                <c:pt idx="782">
                  <c:v>1.474</c:v>
                </c:pt>
                <c:pt idx="783">
                  <c:v>1.4650000000000001</c:v>
                </c:pt>
                <c:pt idx="784">
                  <c:v>1.454</c:v>
                </c:pt>
                <c:pt idx="785">
                  <c:v>1.5920000000000001</c:v>
                </c:pt>
                <c:pt idx="786">
                  <c:v>1.528</c:v>
                </c:pt>
                <c:pt idx="787">
                  <c:v>1.581</c:v>
                </c:pt>
                <c:pt idx="788">
                  <c:v>1.5940000000000001</c:v>
                </c:pt>
                <c:pt idx="789">
                  <c:v>1.56</c:v>
                </c:pt>
                <c:pt idx="790">
                  <c:v>1.5840000000000001</c:v>
                </c:pt>
                <c:pt idx="791">
                  <c:v>1.5660000000000001</c:v>
                </c:pt>
                <c:pt idx="792">
                  <c:v>1.5669999999999999</c:v>
                </c:pt>
                <c:pt idx="793">
                  <c:v>1.6519999999999999</c:v>
                </c:pt>
                <c:pt idx="794">
                  <c:v>1.5620000000000001</c:v>
                </c:pt>
                <c:pt idx="795">
                  <c:v>1.615</c:v>
                </c:pt>
                <c:pt idx="796">
                  <c:v>1.4930000000000001</c:v>
                </c:pt>
                <c:pt idx="797">
                  <c:v>1.496</c:v>
                </c:pt>
                <c:pt idx="798">
                  <c:v>1.4019999999999999</c:v>
                </c:pt>
                <c:pt idx="799">
                  <c:v>1.4990000000000001</c:v>
                </c:pt>
                <c:pt idx="800">
                  <c:v>1.522</c:v>
                </c:pt>
                <c:pt idx="801">
                  <c:v>1.5249999999999999</c:v>
                </c:pt>
                <c:pt idx="802">
                  <c:v>1.62</c:v>
                </c:pt>
                <c:pt idx="803">
                  <c:v>1.6970000000000001</c:v>
                </c:pt>
                <c:pt idx="804">
                  <c:v>1.736</c:v>
                </c:pt>
                <c:pt idx="805">
                  <c:v>1.7709999999999999</c:v>
                </c:pt>
                <c:pt idx="806">
                  <c:v>1.806</c:v>
                </c:pt>
                <c:pt idx="807">
                  <c:v>1.821</c:v>
                </c:pt>
                <c:pt idx="808">
                  <c:v>1.77</c:v>
                </c:pt>
                <c:pt idx="809">
                  <c:v>1.8360000000000001</c:v>
                </c:pt>
                <c:pt idx="810">
                  <c:v>1.889</c:v>
                </c:pt>
                <c:pt idx="811">
                  <c:v>1.9139999999999999</c:v>
                </c:pt>
                <c:pt idx="812">
                  <c:v>2.1030000000000002</c:v>
                </c:pt>
                <c:pt idx="813">
                  <c:v>2.1520000000000001</c:v>
                </c:pt>
                <c:pt idx="814">
                  <c:v>2.1640000000000001</c:v>
                </c:pt>
                <c:pt idx="815">
                  <c:v>2.181</c:v>
                </c:pt>
                <c:pt idx="816">
                  <c:v>2.37</c:v>
                </c:pt>
                <c:pt idx="817">
                  <c:v>2.4449999999999998</c:v>
                </c:pt>
                <c:pt idx="818">
                  <c:v>2.3149999999999999</c:v>
                </c:pt>
                <c:pt idx="819">
                  <c:v>2.3069999999999999</c:v>
                </c:pt>
                <c:pt idx="820">
                  <c:v>2.35</c:v>
                </c:pt>
                <c:pt idx="821">
                  <c:v>2.3570000000000002</c:v>
                </c:pt>
                <c:pt idx="822">
                  <c:v>2.4569999999999999</c:v>
                </c:pt>
                <c:pt idx="823">
                  <c:v>2.5350000000000001</c:v>
                </c:pt>
                <c:pt idx="824">
                  <c:v>2.5030000000000001</c:v>
                </c:pt>
                <c:pt idx="825">
                  <c:v>2.5190000000000001</c:v>
                </c:pt>
                <c:pt idx="826">
                  <c:v>2.5059999999999998</c:v>
                </c:pt>
                <c:pt idx="827">
                  <c:v>2.5430000000000001</c:v>
                </c:pt>
                <c:pt idx="828">
                  <c:v>2.4870000000000001</c:v>
                </c:pt>
                <c:pt idx="829">
                  <c:v>2.3610000000000002</c:v>
                </c:pt>
                <c:pt idx="830">
                  <c:v>2.464</c:v>
                </c:pt>
                <c:pt idx="831">
                  <c:v>2.544</c:v>
                </c:pt>
                <c:pt idx="832">
                  <c:v>2.589</c:v>
                </c:pt>
                <c:pt idx="833">
                  <c:v>2.6920000000000002</c:v>
                </c:pt>
                <c:pt idx="834">
                  <c:v>2.649</c:v>
                </c:pt>
                <c:pt idx="835">
                  <c:v>2.6760000000000002</c:v>
                </c:pt>
                <c:pt idx="836">
                  <c:v>2.6779999999999999</c:v>
                </c:pt>
                <c:pt idx="837">
                  <c:v>2.7080000000000002</c:v>
                </c:pt>
                <c:pt idx="838">
                  <c:v>2.827</c:v>
                </c:pt>
                <c:pt idx="839">
                  <c:v>3.0179999999999998</c:v>
                </c:pt>
                <c:pt idx="840">
                  <c:v>3.1309999999999998</c:v>
                </c:pt>
                <c:pt idx="841">
                  <c:v>2.9609999999999999</c:v>
                </c:pt>
                <c:pt idx="842">
                  <c:v>3.0219999999999998</c:v>
                </c:pt>
                <c:pt idx="843">
                  <c:v>3.0409999999999999</c:v>
                </c:pt>
                <c:pt idx="844">
                  <c:v>3.0009999999999999</c:v>
                </c:pt>
                <c:pt idx="845">
                  <c:v>2.956</c:v>
                </c:pt>
                <c:pt idx="846">
                  <c:v>2.903</c:v>
                </c:pt>
                <c:pt idx="847">
                  <c:v>2.8239999999999998</c:v>
                </c:pt>
                <c:pt idx="848">
                  <c:v>2.8439999999999999</c:v>
                </c:pt>
                <c:pt idx="849">
                  <c:v>2.8780000000000001</c:v>
                </c:pt>
                <c:pt idx="850">
                  <c:v>2.899</c:v>
                </c:pt>
                <c:pt idx="851">
                  <c:v>2.8570000000000002</c:v>
                </c:pt>
                <c:pt idx="852">
                  <c:v>2.8069999999999999</c:v>
                </c:pt>
                <c:pt idx="853">
                  <c:v>2.8260000000000001</c:v>
                </c:pt>
                <c:pt idx="854">
                  <c:v>2.8380000000000001</c:v>
                </c:pt>
                <c:pt idx="855">
                  <c:v>2.7450000000000001</c:v>
                </c:pt>
                <c:pt idx="856">
                  <c:v>2.738</c:v>
                </c:pt>
                <c:pt idx="857">
                  <c:v>2.7719999999999998</c:v>
                </c:pt>
                <c:pt idx="858">
                  <c:v>2.7810000000000001</c:v>
                </c:pt>
                <c:pt idx="859">
                  <c:v>2.863</c:v>
                </c:pt>
                <c:pt idx="860">
                  <c:v>2.9129999999999998</c:v>
                </c:pt>
                <c:pt idx="861">
                  <c:v>3.0089999999999999</c:v>
                </c:pt>
                <c:pt idx="862">
                  <c:v>2.976</c:v>
                </c:pt>
                <c:pt idx="863">
                  <c:v>3.0019999999999998</c:v>
                </c:pt>
                <c:pt idx="864">
                  <c:v>3.1520000000000001</c:v>
                </c:pt>
                <c:pt idx="865">
                  <c:v>3.105</c:v>
                </c:pt>
                <c:pt idx="866">
                  <c:v>3.12</c:v>
                </c:pt>
                <c:pt idx="867">
                  <c:v>3.1459999999999999</c:v>
                </c:pt>
                <c:pt idx="868">
                  <c:v>3.4780000000000002</c:v>
                </c:pt>
                <c:pt idx="869">
                  <c:v>3.7189999999999999</c:v>
                </c:pt>
                <c:pt idx="870">
                  <c:v>3.5230000000000001</c:v>
                </c:pt>
                <c:pt idx="871">
                  <c:v>3.6560000000000001</c:v>
                </c:pt>
                <c:pt idx="872">
                  <c:v>3.633</c:v>
                </c:pt>
                <c:pt idx="873">
                  <c:v>3.5830000000000002</c:v>
                </c:pt>
                <c:pt idx="874">
                  <c:v>3.4849999999999999</c:v>
                </c:pt>
                <c:pt idx="875">
                  <c:v>3.3809999999999998</c:v>
                </c:pt>
                <c:pt idx="876">
                  <c:v>3.2349999999999999</c:v>
                </c:pt>
                <c:pt idx="877">
                  <c:v>3.31</c:v>
                </c:pt>
                <c:pt idx="878">
                  <c:v>3.302</c:v>
                </c:pt>
                <c:pt idx="879">
                  <c:v>3.2330000000000001</c:v>
                </c:pt>
                <c:pt idx="880">
                  <c:v>3.1549999999999998</c:v>
                </c:pt>
                <c:pt idx="881">
                  <c:v>3.0049999999999999</c:v>
                </c:pt>
                <c:pt idx="882">
                  <c:v>2.9710000000000001</c:v>
                </c:pt>
                <c:pt idx="883">
                  <c:v>2.98</c:v>
                </c:pt>
                <c:pt idx="884">
                  <c:v>2.9129999999999998</c:v>
                </c:pt>
                <c:pt idx="885">
                  <c:v>2.9550000000000001</c:v>
                </c:pt>
                <c:pt idx="886">
                  <c:v>2.9950000000000001</c:v>
                </c:pt>
                <c:pt idx="887">
                  <c:v>3.01</c:v>
                </c:pt>
                <c:pt idx="888">
                  <c:v>2.9169999999999998</c:v>
                </c:pt>
                <c:pt idx="889">
                  <c:v>2.9079999999999999</c:v>
                </c:pt>
                <c:pt idx="890">
                  <c:v>3.0219999999999998</c:v>
                </c:pt>
                <c:pt idx="891">
                  <c:v>3.0169999999999999</c:v>
                </c:pt>
                <c:pt idx="892">
                  <c:v>3.073</c:v>
                </c:pt>
                <c:pt idx="893">
                  <c:v>3.169</c:v>
                </c:pt>
                <c:pt idx="894">
                  <c:v>3.2130000000000001</c:v>
                </c:pt>
                <c:pt idx="895">
                  <c:v>3.2269999999999999</c:v>
                </c:pt>
                <c:pt idx="896">
                  <c:v>3.125</c:v>
                </c:pt>
                <c:pt idx="897">
                  <c:v>3.0539999999999998</c:v>
                </c:pt>
                <c:pt idx="898">
                  <c:v>3.0630000000000002</c:v>
                </c:pt>
                <c:pt idx="899">
                  <c:v>2.9449999999999998</c:v>
                </c:pt>
                <c:pt idx="900">
                  <c:v>2.8820000000000001</c:v>
                </c:pt>
                <c:pt idx="901">
                  <c:v>2.6920000000000002</c:v>
                </c:pt>
                <c:pt idx="902">
                  <c:v>2.7229999999999999</c:v>
                </c:pt>
                <c:pt idx="903">
                  <c:v>2.67</c:v>
                </c:pt>
                <c:pt idx="904">
                  <c:v>2.7850000000000001</c:v>
                </c:pt>
                <c:pt idx="905">
                  <c:v>2.859</c:v>
                </c:pt>
                <c:pt idx="906">
                  <c:v>2.831</c:v>
                </c:pt>
                <c:pt idx="907">
                  <c:v>2.9590000000000001</c:v>
                </c:pt>
                <c:pt idx="908">
                  <c:v>2.96</c:v>
                </c:pt>
                <c:pt idx="909">
                  <c:v>3.0110000000000001</c:v>
                </c:pt>
                <c:pt idx="910">
                  <c:v>3.0329999999999999</c:v>
                </c:pt>
                <c:pt idx="911">
                  <c:v>3.1259999999999999</c:v>
                </c:pt>
                <c:pt idx="912">
                  <c:v>3.0790000000000002</c:v>
                </c:pt>
                <c:pt idx="913">
                  <c:v>2.956</c:v>
                </c:pt>
                <c:pt idx="914">
                  <c:v>3.012</c:v>
                </c:pt>
                <c:pt idx="915">
                  <c:v>3.06</c:v>
                </c:pt>
                <c:pt idx="916">
                  <c:v>3.1179999999999999</c:v>
                </c:pt>
                <c:pt idx="917">
                  <c:v>3.2229999999999999</c:v>
                </c:pt>
                <c:pt idx="918">
                  <c:v>3.2930000000000001</c:v>
                </c:pt>
                <c:pt idx="919">
                  <c:v>3.2719999999999998</c:v>
                </c:pt>
                <c:pt idx="920">
                  <c:v>3.31</c:v>
                </c:pt>
                <c:pt idx="921">
                  <c:v>3.2330000000000001</c:v>
                </c:pt>
                <c:pt idx="922">
                  <c:v>3.3809999999999998</c:v>
                </c:pt>
                <c:pt idx="923">
                  <c:v>3.2869999999999999</c:v>
                </c:pt>
                <c:pt idx="924">
                  <c:v>3.2509999999999999</c:v>
                </c:pt>
                <c:pt idx="925">
                  <c:v>3.3279999999999998</c:v>
                </c:pt>
                <c:pt idx="926">
                  <c:v>3.298</c:v>
                </c:pt>
                <c:pt idx="927">
                  <c:v>3.2869999999999999</c:v>
                </c:pt>
                <c:pt idx="928">
                  <c:v>3.2770000000000001</c:v>
                </c:pt>
                <c:pt idx="929">
                  <c:v>3.3090000000000002</c:v>
                </c:pt>
                <c:pt idx="930">
                  <c:v>3.1360000000000001</c:v>
                </c:pt>
                <c:pt idx="931">
                  <c:v>3.1560000000000001</c:v>
                </c:pt>
                <c:pt idx="932">
                  <c:v>3.2320000000000002</c:v>
                </c:pt>
                <c:pt idx="933">
                  <c:v>3.1869999999999998</c:v>
                </c:pt>
                <c:pt idx="934">
                  <c:v>3.2850000000000001</c:v>
                </c:pt>
                <c:pt idx="935">
                  <c:v>3.3639999999999999</c:v>
                </c:pt>
                <c:pt idx="936">
                  <c:v>3.4460000000000002</c:v>
                </c:pt>
                <c:pt idx="937">
                  <c:v>3.4049999999999998</c:v>
                </c:pt>
                <c:pt idx="938">
                  <c:v>3.363</c:v>
                </c:pt>
                <c:pt idx="939">
                  <c:v>3.3620000000000001</c:v>
                </c:pt>
                <c:pt idx="940">
                  <c:v>3.629</c:v>
                </c:pt>
                <c:pt idx="941">
                  <c:v>3.7639999999999998</c:v>
                </c:pt>
                <c:pt idx="942">
                  <c:v>3.7250000000000001</c:v>
                </c:pt>
                <c:pt idx="943">
                  <c:v>3.7320000000000002</c:v>
                </c:pt>
                <c:pt idx="944">
                  <c:v>3.6389999999999998</c:v>
                </c:pt>
                <c:pt idx="945">
                  <c:v>3.573</c:v>
                </c:pt>
                <c:pt idx="946">
                  <c:v>3.2589999999999999</c:v>
                </c:pt>
                <c:pt idx="947">
                  <c:v>3.222</c:v>
                </c:pt>
                <c:pt idx="948">
                  <c:v>3.343</c:v>
                </c:pt>
                <c:pt idx="949">
                  <c:v>3.407</c:v>
                </c:pt>
                <c:pt idx="950">
                  <c:v>3.4119999999999999</c:v>
                </c:pt>
                <c:pt idx="951">
                  <c:v>3.524</c:v>
                </c:pt>
                <c:pt idx="952">
                  <c:v>3.4510000000000001</c:v>
                </c:pt>
                <c:pt idx="953">
                  <c:v>3.4430000000000001</c:v>
                </c:pt>
                <c:pt idx="954">
                  <c:v>3.53</c:v>
                </c:pt>
                <c:pt idx="955">
                  <c:v>3.5259999999999998</c:v>
                </c:pt>
                <c:pt idx="956">
                  <c:v>3.4470000000000001</c:v>
                </c:pt>
                <c:pt idx="957">
                  <c:v>3.5019999999999998</c:v>
                </c:pt>
                <c:pt idx="958">
                  <c:v>3.6179999999999999</c:v>
                </c:pt>
                <c:pt idx="959">
                  <c:v>3.7440000000000002</c:v>
                </c:pt>
                <c:pt idx="960">
                  <c:v>3.6</c:v>
                </c:pt>
                <c:pt idx="961">
                  <c:v>3.5489999999999999</c:v>
                </c:pt>
                <c:pt idx="962">
                  <c:v>3.4660000000000002</c:v>
                </c:pt>
                <c:pt idx="963">
                  <c:v>3.3660000000000001</c:v>
                </c:pt>
                <c:pt idx="964">
                  <c:v>3.274</c:v>
                </c:pt>
                <c:pt idx="965">
                  <c:v>3.2850000000000001</c:v>
                </c:pt>
                <c:pt idx="966">
                  <c:v>3.2480000000000002</c:v>
                </c:pt>
                <c:pt idx="967">
                  <c:v>3.34</c:v>
                </c:pt>
                <c:pt idx="968">
                  <c:v>3.456</c:v>
                </c:pt>
                <c:pt idx="969">
                  <c:v>3.3439999999999999</c:v>
                </c:pt>
                <c:pt idx="970">
                  <c:v>3.363</c:v>
                </c:pt>
                <c:pt idx="971">
                  <c:v>3.5019999999999998</c:v>
                </c:pt>
                <c:pt idx="972">
                  <c:v>3.3959999999999999</c:v>
                </c:pt>
                <c:pt idx="973">
                  <c:v>3.25</c:v>
                </c:pt>
                <c:pt idx="974">
                  <c:v>3.1619999999999999</c:v>
                </c:pt>
                <c:pt idx="975">
                  <c:v>3.2589999999999999</c:v>
                </c:pt>
                <c:pt idx="976">
                  <c:v>3.2810000000000001</c:v>
                </c:pt>
                <c:pt idx="977">
                  <c:v>3.2480000000000002</c:v>
                </c:pt>
                <c:pt idx="978">
                  <c:v>3.1829999999999998</c:v>
                </c:pt>
                <c:pt idx="979">
                  <c:v>3.2040000000000002</c:v>
                </c:pt>
                <c:pt idx="980">
                  <c:v>3.1960000000000002</c:v>
                </c:pt>
                <c:pt idx="981">
                  <c:v>3.2269999999999999</c:v>
                </c:pt>
                <c:pt idx="982">
                  <c:v>3.2730000000000001</c:v>
                </c:pt>
                <c:pt idx="983">
                  <c:v>3.2450000000000001</c:v>
                </c:pt>
                <c:pt idx="984">
                  <c:v>3.2650000000000001</c:v>
                </c:pt>
                <c:pt idx="985">
                  <c:v>3.1960000000000002</c:v>
                </c:pt>
                <c:pt idx="986">
                  <c:v>3.2309999999999999</c:v>
                </c:pt>
                <c:pt idx="987">
                  <c:v>3.161</c:v>
                </c:pt>
                <c:pt idx="988">
                  <c:v>3.0840000000000001</c:v>
                </c:pt>
                <c:pt idx="989">
                  <c:v>3.02</c:v>
                </c:pt>
                <c:pt idx="990">
                  <c:v>3.0089999999999999</c:v>
                </c:pt>
                <c:pt idx="991">
                  <c:v>3.0880000000000001</c:v>
                </c:pt>
                <c:pt idx="992">
                  <c:v>3.07</c:v>
                </c:pt>
                <c:pt idx="993">
                  <c:v>3.0630000000000002</c:v>
                </c:pt>
                <c:pt idx="994">
                  <c:v>3.0230000000000001</c:v>
                </c:pt>
                <c:pt idx="995">
                  <c:v>3.0720000000000001</c:v>
                </c:pt>
                <c:pt idx="996">
                  <c:v>3.1269999999999998</c:v>
                </c:pt>
                <c:pt idx="997">
                  <c:v>3.081</c:v>
                </c:pt>
                <c:pt idx="998">
                  <c:v>3.16</c:v>
                </c:pt>
                <c:pt idx="999">
                  <c:v>3.149</c:v>
                </c:pt>
                <c:pt idx="1000">
                  <c:v>3.1960000000000002</c:v>
                </c:pt>
                <c:pt idx="1001">
                  <c:v>3.2989999999999999</c:v>
                </c:pt>
                <c:pt idx="1002">
                  <c:v>3.2280000000000002</c:v>
                </c:pt>
                <c:pt idx="1003">
                  <c:v>3.28</c:v>
                </c:pt>
                <c:pt idx="1004">
                  <c:v>3.3250000000000002</c:v>
                </c:pt>
                <c:pt idx="1005">
                  <c:v>3.4980000000000002</c:v>
                </c:pt>
                <c:pt idx="1006">
                  <c:v>3.4929999999999999</c:v>
                </c:pt>
                <c:pt idx="1007">
                  <c:v>3.5019999999999998</c:v>
                </c:pt>
                <c:pt idx="1008">
                  <c:v>3.4729999999999999</c:v>
                </c:pt>
                <c:pt idx="1009">
                  <c:v>3.427</c:v>
                </c:pt>
                <c:pt idx="1010">
                  <c:v>3.4180000000000001</c:v>
                </c:pt>
                <c:pt idx="1011">
                  <c:v>3.4380000000000002</c:v>
                </c:pt>
                <c:pt idx="1012">
                  <c:v>3.3039999999999998</c:v>
                </c:pt>
                <c:pt idx="1013">
                  <c:v>3.2949999999999999</c:v>
                </c:pt>
                <c:pt idx="1014">
                  <c:v>3.3079999999999998</c:v>
                </c:pt>
                <c:pt idx="1015">
                  <c:v>3.1840000000000002</c:v>
                </c:pt>
                <c:pt idx="1016">
                  <c:v>3.1890000000000001</c:v>
                </c:pt>
                <c:pt idx="1017">
                  <c:v>3.19</c:v>
                </c:pt>
                <c:pt idx="1018">
                  <c:v>3.181</c:v>
                </c:pt>
                <c:pt idx="1019">
                  <c:v>3.145</c:v>
                </c:pt>
                <c:pt idx="1020">
                  <c:v>2.9390000000000001</c:v>
                </c:pt>
                <c:pt idx="1021">
                  <c:v>2.9780000000000002</c:v>
                </c:pt>
                <c:pt idx="1022">
                  <c:v>3.0169999999999999</c:v>
                </c:pt>
                <c:pt idx="1023">
                  <c:v>3.028</c:v>
                </c:pt>
                <c:pt idx="1024">
                  <c:v>3.1219999999999999</c:v>
                </c:pt>
                <c:pt idx="1025">
                  <c:v>3.19</c:v>
                </c:pt>
                <c:pt idx="1026">
                  <c:v>3.1739999999999999</c:v>
                </c:pt>
                <c:pt idx="1027">
                  <c:v>3.1680000000000001</c:v>
                </c:pt>
                <c:pt idx="1028">
                  <c:v>3.1890000000000001</c:v>
                </c:pt>
                <c:pt idx="1029">
                  <c:v>3.1309999999999998</c:v>
                </c:pt>
                <c:pt idx="1030">
                  <c:v>2.9929999999999999</c:v>
                </c:pt>
                <c:pt idx="1031">
                  <c:v>3.0830000000000002</c:v>
                </c:pt>
                <c:pt idx="1032">
                  <c:v>3.238</c:v>
                </c:pt>
                <c:pt idx="1033">
                  <c:v>3.2570000000000001</c:v>
                </c:pt>
                <c:pt idx="1034">
                  <c:v>3.3260000000000001</c:v>
                </c:pt>
                <c:pt idx="1035">
                  <c:v>3.403</c:v>
                </c:pt>
                <c:pt idx="1036">
                  <c:v>3.4529999999999998</c:v>
                </c:pt>
                <c:pt idx="1037">
                  <c:v>3.4369999999999998</c:v>
                </c:pt>
                <c:pt idx="1038">
                  <c:v>3.448</c:v>
                </c:pt>
                <c:pt idx="1039">
                  <c:v>3.4289999999999998</c:v>
                </c:pt>
                <c:pt idx="1040">
                  <c:v>3.4790000000000001</c:v>
                </c:pt>
                <c:pt idx="1041">
                  <c:v>3.5230000000000001</c:v>
                </c:pt>
                <c:pt idx="1042">
                  <c:v>3.5459999999999998</c:v>
                </c:pt>
                <c:pt idx="1043">
                  <c:v>3.5609999999999999</c:v>
                </c:pt>
                <c:pt idx="1044">
                  <c:v>3.585</c:v>
                </c:pt>
                <c:pt idx="1045">
                  <c:v>3.5539999999999998</c:v>
                </c:pt>
                <c:pt idx="1046">
                  <c:v>3.625</c:v>
                </c:pt>
                <c:pt idx="1047">
                  <c:v>3.59</c:v>
                </c:pt>
                <c:pt idx="1048">
                  <c:v>3.5</c:v>
                </c:pt>
                <c:pt idx="1049">
                  <c:v>3.5590000000000002</c:v>
                </c:pt>
                <c:pt idx="1050">
                  <c:v>3.5910000000000002</c:v>
                </c:pt>
                <c:pt idx="1051">
                  <c:v>3.5019999999999998</c:v>
                </c:pt>
                <c:pt idx="1052">
                  <c:v>3.3610000000000002</c:v>
                </c:pt>
                <c:pt idx="1053">
                  <c:v>3.4540000000000002</c:v>
                </c:pt>
                <c:pt idx="1054">
                  <c:v>3.427</c:v>
                </c:pt>
                <c:pt idx="1055">
                  <c:v>3.3279999999999998</c:v>
                </c:pt>
                <c:pt idx="1056">
                  <c:v>3.2040000000000002</c:v>
                </c:pt>
                <c:pt idx="1057">
                  <c:v>3.0449999999999999</c:v>
                </c:pt>
                <c:pt idx="1058">
                  <c:v>3.077</c:v>
                </c:pt>
                <c:pt idx="1059">
                  <c:v>2.847</c:v>
                </c:pt>
                <c:pt idx="1060">
                  <c:v>3.008</c:v>
                </c:pt>
                <c:pt idx="1061">
                  <c:v>2.831</c:v>
                </c:pt>
                <c:pt idx="1062">
                  <c:v>2.8109999999999999</c:v>
                </c:pt>
                <c:pt idx="1063">
                  <c:v>2.984</c:v>
                </c:pt>
                <c:pt idx="1064">
                  <c:v>2.9060000000000001</c:v>
                </c:pt>
                <c:pt idx="1065">
                  <c:v>2.8420000000000001</c:v>
                </c:pt>
                <c:pt idx="1066">
                  <c:v>2.7970000000000002</c:v>
                </c:pt>
                <c:pt idx="1067">
                  <c:v>2.9020000000000001</c:v>
                </c:pt>
                <c:pt idx="1068">
                  <c:v>2.9039999999999999</c:v>
                </c:pt>
                <c:pt idx="1069">
                  <c:v>2.9809999999999999</c:v>
                </c:pt>
                <c:pt idx="1070">
                  <c:v>2.9390000000000001</c:v>
                </c:pt>
                <c:pt idx="1071">
                  <c:v>2.98</c:v>
                </c:pt>
                <c:pt idx="1072">
                  <c:v>2.8919999999999999</c:v>
                </c:pt>
                <c:pt idx="1073">
                  <c:v>2.895</c:v>
                </c:pt>
                <c:pt idx="1074">
                  <c:v>2.8159999999999998</c:v>
                </c:pt>
                <c:pt idx="1075">
                  <c:v>2.8730000000000002</c:v>
                </c:pt>
                <c:pt idx="1076">
                  <c:v>2.9039999999999999</c:v>
                </c:pt>
                <c:pt idx="1077">
                  <c:v>2.9409999999999998</c:v>
                </c:pt>
                <c:pt idx="1078">
                  <c:v>2.9489999999999998</c:v>
                </c:pt>
                <c:pt idx="1079">
                  <c:v>2.99</c:v>
                </c:pt>
                <c:pt idx="1080">
                  <c:v>3.0859999999999999</c:v>
                </c:pt>
                <c:pt idx="1081">
                  <c:v>3.1739999999999999</c:v>
                </c:pt>
                <c:pt idx="1082">
                  <c:v>3.1629999999999998</c:v>
                </c:pt>
                <c:pt idx="1083">
                  <c:v>3.1240000000000001</c:v>
                </c:pt>
                <c:pt idx="1084">
                  <c:v>3.1230000000000002</c:v>
                </c:pt>
                <c:pt idx="1085">
                  <c:v>2.9470000000000001</c:v>
                </c:pt>
                <c:pt idx="1086">
                  <c:v>3.0129999999999999</c:v>
                </c:pt>
                <c:pt idx="1087">
                  <c:v>2.9969999999999999</c:v>
                </c:pt>
                <c:pt idx="1088">
                  <c:v>3.0070000000000001</c:v>
                </c:pt>
                <c:pt idx="1089">
                  <c:v>3.1850000000000001</c:v>
                </c:pt>
                <c:pt idx="1090">
                  <c:v>3.1269999999999998</c:v>
                </c:pt>
                <c:pt idx="1091">
                  <c:v>2.976</c:v>
                </c:pt>
                <c:pt idx="1092">
                  <c:v>2.9580000000000002</c:v>
                </c:pt>
                <c:pt idx="1093">
                  <c:v>3.0659999999999998</c:v>
                </c:pt>
                <c:pt idx="1094">
                  <c:v>3.0939999999999999</c:v>
                </c:pt>
                <c:pt idx="1095">
                  <c:v>3.1219999999999999</c:v>
                </c:pt>
                <c:pt idx="1096">
                  <c:v>3.0649999999999999</c:v>
                </c:pt>
                <c:pt idx="1097">
                  <c:v>3.0169999999999999</c:v>
                </c:pt>
                <c:pt idx="1098">
                  <c:v>3.1120000000000001</c:v>
                </c:pt>
                <c:pt idx="1099">
                  <c:v>3.101</c:v>
                </c:pt>
                <c:pt idx="1100">
                  <c:v>3.1309999999999998</c:v>
                </c:pt>
                <c:pt idx="1101">
                  <c:v>3.21</c:v>
                </c:pt>
                <c:pt idx="1102">
                  <c:v>3.3159999999999998</c:v>
                </c:pt>
                <c:pt idx="1103">
                  <c:v>3.3050000000000002</c:v>
                </c:pt>
                <c:pt idx="1104">
                  <c:v>3.3740000000000001</c:v>
                </c:pt>
                <c:pt idx="1105">
                  <c:v>3.335</c:v>
                </c:pt>
                <c:pt idx="1106">
                  <c:v>3.411</c:v>
                </c:pt>
                <c:pt idx="1107">
                  <c:v>3.44</c:v>
                </c:pt>
                <c:pt idx="1108">
                  <c:v>3.43</c:v>
                </c:pt>
                <c:pt idx="1109">
                  <c:v>3.4279999999999999</c:v>
                </c:pt>
                <c:pt idx="1110">
                  <c:v>3.3660000000000001</c:v>
                </c:pt>
                <c:pt idx="1111">
                  <c:v>3.3759999999999999</c:v>
                </c:pt>
                <c:pt idx="1112">
                  <c:v>3.4260000000000002</c:v>
                </c:pt>
                <c:pt idx="1113">
                  <c:v>3.5630000000000002</c:v>
                </c:pt>
                <c:pt idx="1114">
                  <c:v>3.6360000000000001</c:v>
                </c:pt>
                <c:pt idx="1115">
                  <c:v>3.6930000000000001</c:v>
                </c:pt>
                <c:pt idx="1116">
                  <c:v>3.8690000000000002</c:v>
                </c:pt>
                <c:pt idx="1117">
                  <c:v>3.8210000000000002</c:v>
                </c:pt>
                <c:pt idx="1118">
                  <c:v>3.831</c:v>
                </c:pt>
                <c:pt idx="1119">
                  <c:v>3.9140000000000001</c:v>
                </c:pt>
                <c:pt idx="1120">
                  <c:v>4.0069999999999997</c:v>
                </c:pt>
                <c:pt idx="1121">
                  <c:v>4.01</c:v>
                </c:pt>
                <c:pt idx="1122">
                  <c:v>3.9910000000000001</c:v>
                </c:pt>
                <c:pt idx="1123">
                  <c:v>3.9710000000000001</c:v>
                </c:pt>
                <c:pt idx="1124">
                  <c:v>3.9329999999999998</c:v>
                </c:pt>
                <c:pt idx="1125">
                  <c:v>3.9620000000000002</c:v>
                </c:pt>
                <c:pt idx="1126">
                  <c:v>4.0090000000000003</c:v>
                </c:pt>
                <c:pt idx="1127">
                  <c:v>3.931</c:v>
                </c:pt>
                <c:pt idx="1128">
                  <c:v>3.9119999999999999</c:v>
                </c:pt>
                <c:pt idx="1129">
                  <c:v>3.8530000000000002</c:v>
                </c:pt>
                <c:pt idx="1130">
                  <c:v>3.9129999999999998</c:v>
                </c:pt>
                <c:pt idx="1131">
                  <c:v>4.0309999999999997</c:v>
                </c:pt>
                <c:pt idx="1132">
                  <c:v>3.9689999999999999</c:v>
                </c:pt>
                <c:pt idx="1133">
                  <c:v>3.996</c:v>
                </c:pt>
                <c:pt idx="1134">
                  <c:v>3.9929999999999999</c:v>
                </c:pt>
                <c:pt idx="1135">
                  <c:v>4.1180000000000003</c:v>
                </c:pt>
                <c:pt idx="1136">
                  <c:v>4.24</c:v>
                </c:pt>
                <c:pt idx="1137">
                  <c:v>4.22</c:v>
                </c:pt>
                <c:pt idx="1138">
                  <c:v>4.1210000000000004</c:v>
                </c:pt>
                <c:pt idx="1139">
                  <c:v>4.0720000000000001</c:v>
                </c:pt>
                <c:pt idx="1140">
                  <c:v>3.97</c:v>
                </c:pt>
                <c:pt idx="1141">
                  <c:v>3.9119999999999999</c:v>
                </c:pt>
                <c:pt idx="1142">
                  <c:v>3.92</c:v>
                </c:pt>
                <c:pt idx="1143">
                  <c:v>3.8879999999999999</c:v>
                </c:pt>
                <c:pt idx="1144">
                  <c:v>3.802</c:v>
                </c:pt>
                <c:pt idx="1145">
                  <c:v>3.919</c:v>
                </c:pt>
                <c:pt idx="1146">
                  <c:v>3.9569999999999999</c:v>
                </c:pt>
                <c:pt idx="1147">
                  <c:v>3.9249999999999998</c:v>
                </c:pt>
                <c:pt idx="1148">
                  <c:v>3.9750000000000001</c:v>
                </c:pt>
                <c:pt idx="1149">
                  <c:v>3.9020000000000001</c:v>
                </c:pt>
                <c:pt idx="1150">
                  <c:v>3.8130000000000002</c:v>
                </c:pt>
                <c:pt idx="1151">
                  <c:v>3.891</c:v>
                </c:pt>
                <c:pt idx="1152">
                  <c:v>3.871</c:v>
                </c:pt>
                <c:pt idx="1153">
                  <c:v>3.7530000000000001</c:v>
                </c:pt>
                <c:pt idx="1154">
                  <c:v>3.7639999999999998</c:v>
                </c:pt>
                <c:pt idx="1155">
                  <c:v>3.778</c:v>
                </c:pt>
                <c:pt idx="1156">
                  <c:v>3.8780000000000001</c:v>
                </c:pt>
                <c:pt idx="1157">
                  <c:v>3.827</c:v>
                </c:pt>
                <c:pt idx="1158">
                  <c:v>3.73</c:v>
                </c:pt>
                <c:pt idx="1159">
                  <c:v>3.7309999999999999</c:v>
                </c:pt>
                <c:pt idx="1160">
                  <c:v>3.7749999999999999</c:v>
                </c:pt>
                <c:pt idx="1161">
                  <c:v>3.8250000000000002</c:v>
                </c:pt>
                <c:pt idx="1162">
                  <c:v>3.903</c:v>
                </c:pt>
                <c:pt idx="1163">
                  <c:v>3.96</c:v>
                </c:pt>
                <c:pt idx="1164">
                  <c:v>3.911</c:v>
                </c:pt>
                <c:pt idx="1165">
                  <c:v>3.9689999999999999</c:v>
                </c:pt>
                <c:pt idx="1166">
                  <c:v>3.8889999999999998</c:v>
                </c:pt>
                <c:pt idx="1167">
                  <c:v>3.8980000000000001</c:v>
                </c:pt>
                <c:pt idx="1168">
                  <c:v>3.9060000000000001</c:v>
                </c:pt>
                <c:pt idx="1169">
                  <c:v>3.8660000000000001</c:v>
                </c:pt>
                <c:pt idx="1170">
                  <c:v>3.8090000000000002</c:v>
                </c:pt>
                <c:pt idx="1171">
                  <c:v>3.8490000000000002</c:v>
                </c:pt>
                <c:pt idx="1172">
                  <c:v>3.8580000000000001</c:v>
                </c:pt>
                <c:pt idx="1173">
                  <c:v>3.8210000000000002</c:v>
                </c:pt>
                <c:pt idx="1174">
                  <c:v>3.7829999999999999</c:v>
                </c:pt>
                <c:pt idx="1175">
                  <c:v>3.7349999999999999</c:v>
                </c:pt>
                <c:pt idx="1176">
                  <c:v>3.7269999999999999</c:v>
                </c:pt>
                <c:pt idx="1177">
                  <c:v>3.794</c:v>
                </c:pt>
                <c:pt idx="1178">
                  <c:v>3.8029999999999999</c:v>
                </c:pt>
                <c:pt idx="1179">
                  <c:v>3.7919999999999998</c:v>
                </c:pt>
                <c:pt idx="1180">
                  <c:v>3.8410000000000002</c:v>
                </c:pt>
                <c:pt idx="1181">
                  <c:v>3.7810000000000001</c:v>
                </c:pt>
                <c:pt idx="1182">
                  <c:v>3.8319999999999999</c:v>
                </c:pt>
                <c:pt idx="1183">
                  <c:v>3.843</c:v>
                </c:pt>
                <c:pt idx="1184">
                  <c:v>3.8519999999999999</c:v>
                </c:pt>
                <c:pt idx="1185">
                  <c:v>3.8279999999999998</c:v>
                </c:pt>
                <c:pt idx="1186">
                  <c:v>3.8319999999999999</c:v>
                </c:pt>
                <c:pt idx="1187">
                  <c:v>3.9060000000000001</c:v>
                </c:pt>
                <c:pt idx="1188">
                  <c:v>3.8849999999999998</c:v>
                </c:pt>
                <c:pt idx="1189">
                  <c:v>3.9380000000000002</c:v>
                </c:pt>
                <c:pt idx="1190">
                  <c:v>4.0410000000000004</c:v>
                </c:pt>
                <c:pt idx="1191">
                  <c:v>4.0289999999999999</c:v>
                </c:pt>
                <c:pt idx="1192">
                  <c:v>4</c:v>
                </c:pt>
                <c:pt idx="1193">
                  <c:v>4.056</c:v>
                </c:pt>
                <c:pt idx="1194">
                  <c:v>4.0350000000000001</c:v>
                </c:pt>
                <c:pt idx="1195">
                  <c:v>4.1040000000000001</c:v>
                </c:pt>
                <c:pt idx="1196">
                  <c:v>4.0780000000000003</c:v>
                </c:pt>
                <c:pt idx="1197">
                  <c:v>4.0839999999999996</c:v>
                </c:pt>
                <c:pt idx="1198">
                  <c:v>4.1349999999999998</c:v>
                </c:pt>
                <c:pt idx="1199">
                  <c:v>4.0330000000000004</c:v>
                </c:pt>
                <c:pt idx="1200">
                  <c:v>3.996</c:v>
                </c:pt>
                <c:pt idx="1201">
                  <c:v>3.9470000000000001</c:v>
                </c:pt>
                <c:pt idx="1202">
                  <c:v>3.9209999999999998</c:v>
                </c:pt>
                <c:pt idx="1203">
                  <c:v>3.9350000000000001</c:v>
                </c:pt>
                <c:pt idx="1204">
                  <c:v>3.9060000000000001</c:v>
                </c:pt>
                <c:pt idx="1205">
                  <c:v>3.944</c:v>
                </c:pt>
                <c:pt idx="1206">
                  <c:v>3.9510000000000001</c:v>
                </c:pt>
                <c:pt idx="1207">
                  <c:v>4.0880000000000001</c:v>
                </c:pt>
                <c:pt idx="1208">
                  <c:v>4.1689999999999996</c:v>
                </c:pt>
                <c:pt idx="1209">
                  <c:v>4.234</c:v>
                </c:pt>
                <c:pt idx="1210">
                  <c:v>4.2039999999999997</c:v>
                </c:pt>
                <c:pt idx="1211">
                  <c:v>4.2140000000000004</c:v>
                </c:pt>
                <c:pt idx="1212">
                  <c:v>4.1470000000000002</c:v>
                </c:pt>
                <c:pt idx="1213">
                  <c:v>4.2460000000000004</c:v>
                </c:pt>
                <c:pt idx="1214">
                  <c:v>4.3339999999999996</c:v>
                </c:pt>
                <c:pt idx="1215">
                  <c:v>4.3129999999999997</c:v>
                </c:pt>
                <c:pt idx="1216">
                  <c:v>4.3630000000000004</c:v>
                </c:pt>
                <c:pt idx="1217">
                  <c:v>4.4029999999999996</c:v>
                </c:pt>
                <c:pt idx="1218">
                  <c:v>4.4109999999999996</c:v>
                </c:pt>
                <c:pt idx="1219">
                  <c:v>4.306</c:v>
                </c:pt>
                <c:pt idx="1220">
                  <c:v>4.2770000000000001</c:v>
                </c:pt>
                <c:pt idx="1221">
                  <c:v>4.2690000000000001</c:v>
                </c:pt>
                <c:pt idx="1222">
                  <c:v>4.2430000000000003</c:v>
                </c:pt>
                <c:pt idx="1223">
                  <c:v>4.1559999999999997</c:v>
                </c:pt>
                <c:pt idx="1224">
                  <c:v>4.1589999999999998</c:v>
                </c:pt>
                <c:pt idx="1225">
                  <c:v>4.2389999999999999</c:v>
                </c:pt>
                <c:pt idx="1226">
                  <c:v>4.2859999999999996</c:v>
                </c:pt>
                <c:pt idx="1227">
                  <c:v>4.2869999999999999</c:v>
                </c:pt>
                <c:pt idx="1228">
                  <c:v>4.1719999999999997</c:v>
                </c:pt>
                <c:pt idx="1229">
                  <c:v>4.1719999999999997</c:v>
                </c:pt>
                <c:pt idx="1230">
                  <c:v>4.0860000000000003</c:v>
                </c:pt>
                <c:pt idx="1231">
                  <c:v>4.1239999999999997</c:v>
                </c:pt>
                <c:pt idx="1232">
                  <c:v>4.0940000000000003</c:v>
                </c:pt>
                <c:pt idx="1233">
                  <c:v>4.0839999999999996</c:v>
                </c:pt>
                <c:pt idx="1234">
                  <c:v>4.1399999999999997</c:v>
                </c:pt>
                <c:pt idx="1235">
                  <c:v>4.1900000000000004</c:v>
                </c:pt>
                <c:pt idx="1236">
                  <c:v>4.2169999999999996</c:v>
                </c:pt>
                <c:pt idx="1237">
                  <c:v>4.1580000000000004</c:v>
                </c:pt>
                <c:pt idx="1238">
                  <c:v>4.0119999999999996</c:v>
                </c:pt>
                <c:pt idx="1239">
                  <c:v>4.0119999999999996</c:v>
                </c:pt>
                <c:pt idx="1240">
                  <c:v>4.07</c:v>
                </c:pt>
                <c:pt idx="1241">
                  <c:v>4.0309999999999997</c:v>
                </c:pt>
                <c:pt idx="1242">
                  <c:v>3.99</c:v>
                </c:pt>
                <c:pt idx="1243">
                  <c:v>3.883</c:v>
                </c:pt>
                <c:pt idx="1244">
                  <c:v>3.9220000000000002</c:v>
                </c:pt>
                <c:pt idx="1245">
                  <c:v>3.9020000000000001</c:v>
                </c:pt>
                <c:pt idx="1246">
                  <c:v>3.952</c:v>
                </c:pt>
                <c:pt idx="1247">
                  <c:v>3.9420000000000002</c:v>
                </c:pt>
                <c:pt idx="1248">
                  <c:v>3.9350000000000001</c:v>
                </c:pt>
                <c:pt idx="1249">
                  <c:v>3.7480000000000002</c:v>
                </c:pt>
                <c:pt idx="1250">
                  <c:v>3.782</c:v>
                </c:pt>
                <c:pt idx="1251">
                  <c:v>3.706</c:v>
                </c:pt>
                <c:pt idx="1252">
                  <c:v>3.762</c:v>
                </c:pt>
                <c:pt idx="1253">
                  <c:v>3.7040000000000002</c:v>
                </c:pt>
                <c:pt idx="1254">
                  <c:v>3.6659999999999999</c:v>
                </c:pt>
                <c:pt idx="1255">
                  <c:v>3.6549999999999998</c:v>
                </c:pt>
                <c:pt idx="1256">
                  <c:v>3.613</c:v>
                </c:pt>
                <c:pt idx="1257">
                  <c:v>3.5640000000000001</c:v>
                </c:pt>
                <c:pt idx="1258">
                  <c:v>3.605</c:v>
                </c:pt>
                <c:pt idx="1259">
                  <c:v>3.6339999999999999</c:v>
                </c:pt>
                <c:pt idx="1260">
                  <c:v>3.702</c:v>
                </c:pt>
                <c:pt idx="1261">
                  <c:v>3.7010000000000001</c:v>
                </c:pt>
                <c:pt idx="1262">
                  <c:v>3.7650000000000001</c:v>
                </c:pt>
                <c:pt idx="1263">
                  <c:v>3.8029999999999999</c:v>
                </c:pt>
                <c:pt idx="1264">
                  <c:v>3.7349999999999999</c:v>
                </c:pt>
                <c:pt idx="1265">
                  <c:v>3.7450000000000001</c:v>
                </c:pt>
                <c:pt idx="1266">
                  <c:v>3.734</c:v>
                </c:pt>
                <c:pt idx="1267">
                  <c:v>3.6779999999999999</c:v>
                </c:pt>
                <c:pt idx="1268">
                  <c:v>3.6579999999999999</c:v>
                </c:pt>
                <c:pt idx="1269">
                  <c:v>3.7240000000000002</c:v>
                </c:pt>
                <c:pt idx="1270">
                  <c:v>3.78</c:v>
                </c:pt>
                <c:pt idx="1271">
                  <c:v>3.8380000000000001</c:v>
                </c:pt>
                <c:pt idx="1272">
                  <c:v>3.855</c:v>
                </c:pt>
                <c:pt idx="1273">
                  <c:v>3.827</c:v>
                </c:pt>
                <c:pt idx="1274">
                  <c:v>3.7789999999999999</c:v>
                </c:pt>
                <c:pt idx="1275">
                  <c:v>3.7959999999999998</c:v>
                </c:pt>
                <c:pt idx="1276">
                  <c:v>3.7949999999999999</c:v>
                </c:pt>
                <c:pt idx="1277">
                  <c:v>3.746</c:v>
                </c:pt>
                <c:pt idx="1278">
                  <c:v>3.7069999999999999</c:v>
                </c:pt>
                <c:pt idx="1279">
                  <c:v>3.5579999999999998</c:v>
                </c:pt>
                <c:pt idx="1280">
                  <c:v>3.56</c:v>
                </c:pt>
                <c:pt idx="1281">
                  <c:v>3.54</c:v>
                </c:pt>
                <c:pt idx="1282">
                  <c:v>3.665</c:v>
                </c:pt>
                <c:pt idx="1283">
                  <c:v>3.6840000000000002</c:v>
                </c:pt>
                <c:pt idx="1284">
                  <c:v>3.645</c:v>
                </c:pt>
                <c:pt idx="1285">
                  <c:v>3.6619999999999999</c:v>
                </c:pt>
                <c:pt idx="1286">
                  <c:v>3.6909999999999998</c:v>
                </c:pt>
                <c:pt idx="1287">
                  <c:v>3.75</c:v>
                </c:pt>
                <c:pt idx="1288">
                  <c:v>3.758</c:v>
                </c:pt>
                <c:pt idx="1289">
                  <c:v>3.8540000000000001</c:v>
                </c:pt>
                <c:pt idx="1290">
                  <c:v>3.726</c:v>
                </c:pt>
                <c:pt idx="1291">
                  <c:v>3.7749999999999999</c:v>
                </c:pt>
                <c:pt idx="1292">
                  <c:v>3.7549999999999999</c:v>
                </c:pt>
                <c:pt idx="1293">
                  <c:v>3.746</c:v>
                </c:pt>
                <c:pt idx="1294">
                  <c:v>3.726</c:v>
                </c:pt>
                <c:pt idx="1295">
                  <c:v>3.734</c:v>
                </c:pt>
                <c:pt idx="1296">
                  <c:v>3.7850000000000001</c:v>
                </c:pt>
                <c:pt idx="1297">
                  <c:v>3.714</c:v>
                </c:pt>
                <c:pt idx="1298">
                  <c:v>3.7210000000000001</c:v>
                </c:pt>
                <c:pt idx="1299">
                  <c:v>3.7320000000000002</c:v>
                </c:pt>
                <c:pt idx="1300">
                  <c:v>3.702</c:v>
                </c:pt>
                <c:pt idx="1301">
                  <c:v>3.7120000000000002</c:v>
                </c:pt>
                <c:pt idx="1302">
                  <c:v>3.6819999999999999</c:v>
                </c:pt>
                <c:pt idx="1303">
                  <c:v>3.6819999999999999</c:v>
                </c:pt>
                <c:pt idx="1304">
                  <c:v>3.6240000000000001</c:v>
                </c:pt>
                <c:pt idx="1305">
                  <c:v>3.633</c:v>
                </c:pt>
                <c:pt idx="1306">
                  <c:v>3.6019999999999999</c:v>
                </c:pt>
                <c:pt idx="1307">
                  <c:v>3.5859999999999999</c:v>
                </c:pt>
                <c:pt idx="1308">
                  <c:v>3.5830000000000002</c:v>
                </c:pt>
                <c:pt idx="1309">
                  <c:v>3.6469999999999998</c:v>
                </c:pt>
                <c:pt idx="1310">
                  <c:v>3.681</c:v>
                </c:pt>
                <c:pt idx="1311">
                  <c:v>3.7429999999999999</c:v>
                </c:pt>
                <c:pt idx="1312">
                  <c:v>3.7360000000000002</c:v>
                </c:pt>
                <c:pt idx="1313">
                  <c:v>3.669</c:v>
                </c:pt>
                <c:pt idx="1314">
                  <c:v>3.6509999999999998</c:v>
                </c:pt>
                <c:pt idx="1315">
                  <c:v>3.6989999999999998</c:v>
                </c:pt>
                <c:pt idx="1316">
                  <c:v>3.6629999999999998</c:v>
                </c:pt>
                <c:pt idx="1317">
                  <c:v>3.633</c:v>
                </c:pt>
                <c:pt idx="1318">
                  <c:v>3.64</c:v>
                </c:pt>
                <c:pt idx="1319">
                  <c:v>3.62</c:v>
                </c:pt>
                <c:pt idx="1320">
                  <c:v>3.589</c:v>
                </c:pt>
                <c:pt idx="1321">
                  <c:v>3.653</c:v>
                </c:pt>
                <c:pt idx="1322">
                  <c:v>3.7130000000000001</c:v>
                </c:pt>
                <c:pt idx="1323">
                  <c:v>3.7410000000000001</c:v>
                </c:pt>
                <c:pt idx="1324">
                  <c:v>3.681</c:v>
                </c:pt>
                <c:pt idx="1325">
                  <c:v>3.7570000000000001</c:v>
                </c:pt>
                <c:pt idx="1326">
                  <c:v>3.7250000000000001</c:v>
                </c:pt>
                <c:pt idx="1327">
                  <c:v>3.6970000000000001</c:v>
                </c:pt>
                <c:pt idx="1328">
                  <c:v>3.8319999999999999</c:v>
                </c:pt>
                <c:pt idx="1329">
                  <c:v>3.8490000000000002</c:v>
                </c:pt>
                <c:pt idx="1330">
                  <c:v>3.8410000000000002</c:v>
                </c:pt>
                <c:pt idx="1331">
                  <c:v>3.8879999999999999</c:v>
                </c:pt>
                <c:pt idx="1332">
                  <c:v>3.9449999999999998</c:v>
                </c:pt>
                <c:pt idx="1333">
                  <c:v>3.8639999999999999</c:v>
                </c:pt>
                <c:pt idx="1334">
                  <c:v>3.8250000000000002</c:v>
                </c:pt>
                <c:pt idx="1335">
                  <c:v>3.883</c:v>
                </c:pt>
                <c:pt idx="1336">
                  <c:v>3.8460000000000001</c:v>
                </c:pt>
                <c:pt idx="1337">
                  <c:v>4.0309999999999997</c:v>
                </c:pt>
                <c:pt idx="1338">
                  <c:v>4.1379999999999999</c:v>
                </c:pt>
                <c:pt idx="1339">
                  <c:v>4.1059999999999999</c:v>
                </c:pt>
                <c:pt idx="1340">
                  <c:v>4.0339999999999998</c:v>
                </c:pt>
                <c:pt idx="1341">
                  <c:v>4.1120000000000001</c:v>
                </c:pt>
                <c:pt idx="1342">
                  <c:v>4.0620000000000003</c:v>
                </c:pt>
                <c:pt idx="1343">
                  <c:v>4.0330000000000004</c:v>
                </c:pt>
                <c:pt idx="1344">
                  <c:v>4.0229999999999997</c:v>
                </c:pt>
                <c:pt idx="1345">
                  <c:v>3.9140000000000001</c:v>
                </c:pt>
                <c:pt idx="1346">
                  <c:v>3.9340000000000002</c:v>
                </c:pt>
                <c:pt idx="1347">
                  <c:v>3.984</c:v>
                </c:pt>
                <c:pt idx="1348">
                  <c:v>3.9649999999999999</c:v>
                </c:pt>
                <c:pt idx="1349">
                  <c:v>3.9660000000000002</c:v>
                </c:pt>
                <c:pt idx="1350">
                  <c:v>3.9569999999999999</c:v>
                </c:pt>
                <c:pt idx="1351">
                  <c:v>3.9569999999999999</c:v>
                </c:pt>
                <c:pt idx="1352">
                  <c:v>3.8359999999999999</c:v>
                </c:pt>
                <c:pt idx="1353">
                  <c:v>3.843</c:v>
                </c:pt>
                <c:pt idx="1354">
                  <c:v>3.8740000000000001</c:v>
                </c:pt>
                <c:pt idx="1355">
                  <c:v>3.8929999999999998</c:v>
                </c:pt>
                <c:pt idx="1356">
                  <c:v>3.9319999999999999</c:v>
                </c:pt>
                <c:pt idx="1357">
                  <c:v>3.93</c:v>
                </c:pt>
                <c:pt idx="1358">
                  <c:v>3.98</c:v>
                </c:pt>
                <c:pt idx="1359">
                  <c:v>3.96</c:v>
                </c:pt>
                <c:pt idx="1360">
                  <c:v>3.9510000000000001</c:v>
                </c:pt>
                <c:pt idx="1361">
                  <c:v>4.0659999999999998</c:v>
                </c:pt>
                <c:pt idx="1362">
                  <c:v>4.0750000000000002</c:v>
                </c:pt>
                <c:pt idx="1363">
                  <c:v>4.0449999999999999</c:v>
                </c:pt>
                <c:pt idx="1364">
                  <c:v>4.016</c:v>
                </c:pt>
                <c:pt idx="1365">
                  <c:v>3.9660000000000002</c:v>
                </c:pt>
                <c:pt idx="1366">
                  <c:v>3.927</c:v>
                </c:pt>
                <c:pt idx="1367">
                  <c:v>3.9049999999999998</c:v>
                </c:pt>
                <c:pt idx="1368">
                  <c:v>3.8929999999999998</c:v>
                </c:pt>
                <c:pt idx="1369">
                  <c:v>3.972</c:v>
                </c:pt>
                <c:pt idx="1370">
                  <c:v>3.9409999999999998</c:v>
                </c:pt>
                <c:pt idx="1371">
                  <c:v>3.8780000000000001</c:v>
                </c:pt>
                <c:pt idx="1372">
                  <c:v>3.81</c:v>
                </c:pt>
                <c:pt idx="1373">
                  <c:v>3.79</c:v>
                </c:pt>
                <c:pt idx="1374">
                  <c:v>3.8439999999999999</c:v>
                </c:pt>
                <c:pt idx="1375">
                  <c:v>3.895</c:v>
                </c:pt>
                <c:pt idx="1376">
                  <c:v>3.9129999999999998</c:v>
                </c:pt>
                <c:pt idx="1377">
                  <c:v>3.9119999999999999</c:v>
                </c:pt>
                <c:pt idx="1378">
                  <c:v>3.9289999999999998</c:v>
                </c:pt>
                <c:pt idx="1379">
                  <c:v>3.9220000000000002</c:v>
                </c:pt>
                <c:pt idx="1380">
                  <c:v>4.0970000000000004</c:v>
                </c:pt>
                <c:pt idx="1381">
                  <c:v>4.1609999999999996</c:v>
                </c:pt>
                <c:pt idx="1382">
                  <c:v>4.0739999999999998</c:v>
                </c:pt>
                <c:pt idx="1383">
                  <c:v>4.12</c:v>
                </c:pt>
                <c:pt idx="1384">
                  <c:v>4.13</c:v>
                </c:pt>
                <c:pt idx="1385">
                  <c:v>4.149</c:v>
                </c:pt>
                <c:pt idx="1386">
                  <c:v>4.1520000000000001</c:v>
                </c:pt>
                <c:pt idx="1387">
                  <c:v>4.1500000000000004</c:v>
                </c:pt>
                <c:pt idx="1388">
                  <c:v>4.1109999999999998</c:v>
                </c:pt>
                <c:pt idx="1389">
                  <c:v>4.1020000000000003</c:v>
                </c:pt>
                <c:pt idx="1390">
                  <c:v>4.0739999999999998</c:v>
                </c:pt>
                <c:pt idx="1391">
                  <c:v>4.1020000000000003</c:v>
                </c:pt>
                <c:pt idx="1392">
                  <c:v>4.0460000000000003</c:v>
                </c:pt>
                <c:pt idx="1393">
                  <c:v>4.0359999999999996</c:v>
                </c:pt>
                <c:pt idx="1394">
                  <c:v>3.9580000000000002</c:v>
                </c:pt>
                <c:pt idx="1395">
                  <c:v>3.9590000000000001</c:v>
                </c:pt>
                <c:pt idx="1396">
                  <c:v>3.9750000000000001</c:v>
                </c:pt>
                <c:pt idx="1397">
                  <c:v>3.9950000000000001</c:v>
                </c:pt>
                <c:pt idx="1398">
                  <c:v>4.0039999999999996</c:v>
                </c:pt>
                <c:pt idx="1399">
                  <c:v>4.0419999999999998</c:v>
                </c:pt>
                <c:pt idx="1400">
                  <c:v>4.032</c:v>
                </c:pt>
                <c:pt idx="1401">
                  <c:v>3.9729999999999999</c:v>
                </c:pt>
                <c:pt idx="1402">
                  <c:v>3.9729999999999999</c:v>
                </c:pt>
                <c:pt idx="1403">
                  <c:v>3.9620000000000002</c:v>
                </c:pt>
                <c:pt idx="1404">
                  <c:v>3.97</c:v>
                </c:pt>
                <c:pt idx="1405">
                  <c:v>3.746</c:v>
                </c:pt>
                <c:pt idx="1406">
                  <c:v>3.726</c:v>
                </c:pt>
                <c:pt idx="1407">
                  <c:v>3.6680000000000001</c:v>
                </c:pt>
                <c:pt idx="1408">
                  <c:v>3.5539999999999998</c:v>
                </c:pt>
                <c:pt idx="1409">
                  <c:v>3.625</c:v>
                </c:pt>
                <c:pt idx="1410">
                  <c:v>3.673</c:v>
                </c:pt>
                <c:pt idx="1411">
                  <c:v>3.641</c:v>
                </c:pt>
                <c:pt idx="1412">
                  <c:v>3.6469999999999998</c:v>
                </c:pt>
                <c:pt idx="1413">
                  <c:v>3.6579999999999999</c:v>
                </c:pt>
                <c:pt idx="1414">
                  <c:v>3.6179999999999999</c:v>
                </c:pt>
                <c:pt idx="1415">
                  <c:v>3.5230000000000001</c:v>
                </c:pt>
                <c:pt idx="1416">
                  <c:v>3.4910000000000001</c:v>
                </c:pt>
                <c:pt idx="1417">
                  <c:v>3.5590000000000002</c:v>
                </c:pt>
                <c:pt idx="1418">
                  <c:v>3.5470000000000002</c:v>
                </c:pt>
                <c:pt idx="1419">
                  <c:v>3.585</c:v>
                </c:pt>
                <c:pt idx="1420">
                  <c:v>3.5259999999999998</c:v>
                </c:pt>
                <c:pt idx="1421">
                  <c:v>3.504</c:v>
                </c:pt>
                <c:pt idx="1422">
                  <c:v>3.5379999999999998</c:v>
                </c:pt>
                <c:pt idx="1423">
                  <c:v>3.4390000000000001</c:v>
                </c:pt>
                <c:pt idx="1424">
                  <c:v>3.4969999999999999</c:v>
                </c:pt>
                <c:pt idx="1425">
                  <c:v>3.536</c:v>
                </c:pt>
                <c:pt idx="1426">
                  <c:v>3.544</c:v>
                </c:pt>
                <c:pt idx="1427">
                  <c:v>3.5430000000000001</c:v>
                </c:pt>
                <c:pt idx="1428">
                  <c:v>3.597</c:v>
                </c:pt>
                <c:pt idx="1429">
                  <c:v>3.5870000000000002</c:v>
                </c:pt>
                <c:pt idx="1430">
                  <c:v>3.5569999999999999</c:v>
                </c:pt>
                <c:pt idx="1431">
                  <c:v>3.5259999999999998</c:v>
                </c:pt>
                <c:pt idx="1432">
                  <c:v>3.4870000000000001</c:v>
                </c:pt>
                <c:pt idx="1433">
                  <c:v>3.536</c:v>
                </c:pt>
                <c:pt idx="1434">
                  <c:v>3.51</c:v>
                </c:pt>
                <c:pt idx="1435">
                  <c:v>3.4660000000000002</c:v>
                </c:pt>
                <c:pt idx="1436">
                  <c:v>3.4910000000000001</c:v>
                </c:pt>
                <c:pt idx="1437">
                  <c:v>3.4209999999999998</c:v>
                </c:pt>
                <c:pt idx="1438">
                  <c:v>3.3969999999999998</c:v>
                </c:pt>
                <c:pt idx="1439">
                  <c:v>3.4169999999999998</c:v>
                </c:pt>
                <c:pt idx="1440">
                  <c:v>3.4470000000000001</c:v>
                </c:pt>
                <c:pt idx="1441">
                  <c:v>3.5179999999999998</c:v>
                </c:pt>
                <c:pt idx="1442">
                  <c:v>3.4969999999999999</c:v>
                </c:pt>
                <c:pt idx="1443">
                  <c:v>3.5329999999999999</c:v>
                </c:pt>
                <c:pt idx="1444">
                  <c:v>3.4249999999999998</c:v>
                </c:pt>
                <c:pt idx="1445">
                  <c:v>3.4540000000000002</c:v>
                </c:pt>
                <c:pt idx="1446">
                  <c:v>3.49</c:v>
                </c:pt>
                <c:pt idx="1447">
                  <c:v>3.5169999999999999</c:v>
                </c:pt>
                <c:pt idx="1448">
                  <c:v>3.528</c:v>
                </c:pt>
                <c:pt idx="1449">
                  <c:v>3.552</c:v>
                </c:pt>
                <c:pt idx="1450">
                  <c:v>3.5009999999999999</c:v>
                </c:pt>
                <c:pt idx="1451">
                  <c:v>3.5470000000000002</c:v>
                </c:pt>
                <c:pt idx="1452">
                  <c:v>3.613</c:v>
                </c:pt>
                <c:pt idx="1453">
                  <c:v>3.73</c:v>
                </c:pt>
                <c:pt idx="1454">
                  <c:v>3.7389999999999999</c:v>
                </c:pt>
                <c:pt idx="1455">
                  <c:v>3.7850000000000001</c:v>
                </c:pt>
                <c:pt idx="1456">
                  <c:v>3.7749999999999999</c:v>
                </c:pt>
                <c:pt idx="1457">
                  <c:v>3.8039999999999998</c:v>
                </c:pt>
                <c:pt idx="1458">
                  <c:v>3.7930000000000001</c:v>
                </c:pt>
                <c:pt idx="1459">
                  <c:v>3.754</c:v>
                </c:pt>
                <c:pt idx="1460">
                  <c:v>3.8090000000000002</c:v>
                </c:pt>
                <c:pt idx="1461">
                  <c:v>3.8460000000000001</c:v>
                </c:pt>
                <c:pt idx="1462">
                  <c:v>3.8149999999999999</c:v>
                </c:pt>
                <c:pt idx="1463">
                  <c:v>3.931</c:v>
                </c:pt>
                <c:pt idx="1464">
                  <c:v>3.9590000000000001</c:v>
                </c:pt>
                <c:pt idx="1465">
                  <c:v>3.9369999999999998</c:v>
                </c:pt>
                <c:pt idx="1466">
                  <c:v>3.907</c:v>
                </c:pt>
                <c:pt idx="1467">
                  <c:v>3.976</c:v>
                </c:pt>
                <c:pt idx="1468">
                  <c:v>3.9470000000000001</c:v>
                </c:pt>
                <c:pt idx="1469">
                  <c:v>3.964</c:v>
                </c:pt>
                <c:pt idx="1470">
                  <c:v>4.0199999999999996</c:v>
                </c:pt>
                <c:pt idx="1471">
                  <c:v>4.0469999999999997</c:v>
                </c:pt>
                <c:pt idx="1472">
                  <c:v>4.0460000000000003</c:v>
                </c:pt>
                <c:pt idx="1473">
                  <c:v>4.08</c:v>
                </c:pt>
                <c:pt idx="1474">
                  <c:v>4.1280000000000001</c:v>
                </c:pt>
                <c:pt idx="1475">
                  <c:v>4.1280000000000001</c:v>
                </c:pt>
                <c:pt idx="1476">
                  <c:v>4.08</c:v>
                </c:pt>
                <c:pt idx="1477">
                  <c:v>4.0999999999999996</c:v>
                </c:pt>
                <c:pt idx="1478">
                  <c:v>4.1100000000000003</c:v>
                </c:pt>
                <c:pt idx="1479">
                  <c:v>4.2160000000000002</c:v>
                </c:pt>
                <c:pt idx="1480">
                  <c:v>4.2050000000000001</c:v>
                </c:pt>
                <c:pt idx="1481">
                  <c:v>4.165</c:v>
                </c:pt>
                <c:pt idx="1482">
                  <c:v>4.117</c:v>
                </c:pt>
                <c:pt idx="1483">
                  <c:v>4.0780000000000003</c:v>
                </c:pt>
                <c:pt idx="1484">
                  <c:v>4.0759999999999996</c:v>
                </c:pt>
                <c:pt idx="1485">
                  <c:v>4.1040000000000001</c:v>
                </c:pt>
                <c:pt idx="1486">
                  <c:v>4.0720000000000001</c:v>
                </c:pt>
                <c:pt idx="1487">
                  <c:v>4.0350000000000001</c:v>
                </c:pt>
                <c:pt idx="1488">
                  <c:v>3.9860000000000002</c:v>
                </c:pt>
                <c:pt idx="1489">
                  <c:v>3.968</c:v>
                </c:pt>
                <c:pt idx="1490">
                  <c:v>3.91</c:v>
                </c:pt>
                <c:pt idx="1491">
                  <c:v>3.91</c:v>
                </c:pt>
                <c:pt idx="1492">
                  <c:v>3.9289999999999998</c:v>
                </c:pt>
                <c:pt idx="1493">
                  <c:v>3.91</c:v>
                </c:pt>
                <c:pt idx="1494">
                  <c:v>3.831</c:v>
                </c:pt>
                <c:pt idx="1495">
                  <c:v>3.81</c:v>
                </c:pt>
                <c:pt idx="1496">
                  <c:v>3.8079999999999998</c:v>
                </c:pt>
                <c:pt idx="1497">
                  <c:v>3.7879999999999998</c:v>
                </c:pt>
                <c:pt idx="1498">
                  <c:v>3.7050000000000001</c:v>
                </c:pt>
                <c:pt idx="1499">
                  <c:v>3.726</c:v>
                </c:pt>
                <c:pt idx="1500">
                  <c:v>3.8319999999999999</c:v>
                </c:pt>
                <c:pt idx="1501">
                  <c:v>3.8420000000000001</c:v>
                </c:pt>
                <c:pt idx="1502">
                  <c:v>3.8679999999999999</c:v>
                </c:pt>
                <c:pt idx="1503">
                  <c:v>3.8380000000000001</c:v>
                </c:pt>
                <c:pt idx="1504">
                  <c:v>3.8090000000000002</c:v>
                </c:pt>
                <c:pt idx="1505">
                  <c:v>3.9409999999999998</c:v>
                </c:pt>
                <c:pt idx="1506">
                  <c:v>3.9750000000000001</c:v>
                </c:pt>
                <c:pt idx="1507">
                  <c:v>3.9049999999999998</c:v>
                </c:pt>
                <c:pt idx="1508">
                  <c:v>3.9039999999999999</c:v>
                </c:pt>
                <c:pt idx="1509">
                  <c:v>3.8450000000000002</c:v>
                </c:pt>
                <c:pt idx="1510">
                  <c:v>3.9039999999999999</c:v>
                </c:pt>
                <c:pt idx="1511">
                  <c:v>3.8239999999999998</c:v>
                </c:pt>
                <c:pt idx="1512">
                  <c:v>3.875</c:v>
                </c:pt>
                <c:pt idx="1513">
                  <c:v>3.8439999999999999</c:v>
                </c:pt>
                <c:pt idx="1514">
                  <c:v>3.92</c:v>
                </c:pt>
                <c:pt idx="1515">
                  <c:v>3.9369999999999998</c:v>
                </c:pt>
                <c:pt idx="1516">
                  <c:v>3.9140000000000001</c:v>
                </c:pt>
                <c:pt idx="1517">
                  <c:v>3.8919999999999999</c:v>
                </c:pt>
                <c:pt idx="1518">
                  <c:v>3.9319999999999999</c:v>
                </c:pt>
                <c:pt idx="1519">
                  <c:v>4.056</c:v>
                </c:pt>
                <c:pt idx="1520">
                  <c:v>4.0350000000000001</c:v>
                </c:pt>
                <c:pt idx="1521">
                  <c:v>4.0330000000000004</c:v>
                </c:pt>
                <c:pt idx="1522">
                  <c:v>3.9390000000000001</c:v>
                </c:pt>
                <c:pt idx="1523">
                  <c:v>3.95</c:v>
                </c:pt>
                <c:pt idx="1524">
                  <c:v>3.9209999999999998</c:v>
                </c:pt>
                <c:pt idx="1525">
                  <c:v>3.8660000000000001</c:v>
                </c:pt>
                <c:pt idx="1526">
                  <c:v>3.9140000000000001</c:v>
                </c:pt>
                <c:pt idx="1527">
                  <c:v>3.9119999999999999</c:v>
                </c:pt>
                <c:pt idx="1528">
                  <c:v>3.903</c:v>
                </c:pt>
                <c:pt idx="1529">
                  <c:v>3.843</c:v>
                </c:pt>
                <c:pt idx="1530">
                  <c:v>3.7810000000000001</c:v>
                </c:pt>
                <c:pt idx="1531">
                  <c:v>3.786</c:v>
                </c:pt>
                <c:pt idx="1532">
                  <c:v>3.8050000000000002</c:v>
                </c:pt>
                <c:pt idx="1533">
                  <c:v>3.738</c:v>
                </c:pt>
                <c:pt idx="1534">
                  <c:v>3.7650000000000001</c:v>
                </c:pt>
                <c:pt idx="1535">
                  <c:v>3.738</c:v>
                </c:pt>
                <c:pt idx="1536">
                  <c:v>3.7229999999999999</c:v>
                </c:pt>
                <c:pt idx="1537">
                  <c:v>3.77</c:v>
                </c:pt>
                <c:pt idx="1538">
                  <c:v>3.8090000000000002</c:v>
                </c:pt>
                <c:pt idx="1539">
                  <c:v>3.7989999999999999</c:v>
                </c:pt>
                <c:pt idx="1540">
                  <c:v>3.855</c:v>
                </c:pt>
                <c:pt idx="1541">
                  <c:v>3.8530000000000002</c:v>
                </c:pt>
                <c:pt idx="1542">
                  <c:v>3.827</c:v>
                </c:pt>
                <c:pt idx="1543">
                  <c:v>3.8679999999999999</c:v>
                </c:pt>
                <c:pt idx="1544">
                  <c:v>3.923</c:v>
                </c:pt>
                <c:pt idx="1545">
                  <c:v>3.9329999999999998</c:v>
                </c:pt>
                <c:pt idx="1546">
                  <c:v>3.9420000000000002</c:v>
                </c:pt>
                <c:pt idx="1547">
                  <c:v>3.923</c:v>
                </c:pt>
                <c:pt idx="1548">
                  <c:v>3.8540000000000001</c:v>
                </c:pt>
                <c:pt idx="1549">
                  <c:v>3.8159999999999998</c:v>
                </c:pt>
                <c:pt idx="1550">
                  <c:v>3.7970000000000002</c:v>
                </c:pt>
                <c:pt idx="1551">
                  <c:v>3.786</c:v>
                </c:pt>
                <c:pt idx="1552">
                  <c:v>3.738</c:v>
                </c:pt>
                <c:pt idx="1553">
                  <c:v>3.766</c:v>
                </c:pt>
                <c:pt idx="1554">
                  <c:v>3.7050000000000001</c:v>
                </c:pt>
                <c:pt idx="1555">
                  <c:v>3.7530000000000001</c:v>
                </c:pt>
                <c:pt idx="1556">
                  <c:v>3.84</c:v>
                </c:pt>
                <c:pt idx="1557">
                  <c:v>3.77</c:v>
                </c:pt>
                <c:pt idx="1558">
                  <c:v>3.81</c:v>
                </c:pt>
                <c:pt idx="1559">
                  <c:v>3.7370000000000001</c:v>
                </c:pt>
                <c:pt idx="1560">
                  <c:v>3.7650000000000001</c:v>
                </c:pt>
                <c:pt idx="1561">
                  <c:v>3.766</c:v>
                </c:pt>
                <c:pt idx="1562">
                  <c:v>3.762</c:v>
                </c:pt>
                <c:pt idx="1563">
                  <c:v>3.76</c:v>
                </c:pt>
                <c:pt idx="1564">
                  <c:v>3.7709999999999999</c:v>
                </c:pt>
                <c:pt idx="1565">
                  <c:v>3.7909999999999999</c:v>
                </c:pt>
                <c:pt idx="1566">
                  <c:v>3.742</c:v>
                </c:pt>
                <c:pt idx="1567">
                  <c:v>3.7509999999999999</c:v>
                </c:pt>
                <c:pt idx="1568">
                  <c:v>3.7389999999999999</c:v>
                </c:pt>
                <c:pt idx="1569">
                  <c:v>3.7450000000000001</c:v>
                </c:pt>
                <c:pt idx="1570">
                  <c:v>3.79</c:v>
                </c:pt>
                <c:pt idx="1571">
                  <c:v>3.7959999999999998</c:v>
                </c:pt>
                <c:pt idx="1572">
                  <c:v>3.758</c:v>
                </c:pt>
                <c:pt idx="1573">
                  <c:v>3.6930000000000001</c:v>
                </c:pt>
                <c:pt idx="1574">
                  <c:v>3.69</c:v>
                </c:pt>
                <c:pt idx="1575">
                  <c:v>3.7130000000000001</c:v>
                </c:pt>
                <c:pt idx="1576">
                  <c:v>3.5489999999999999</c:v>
                </c:pt>
                <c:pt idx="1577">
                  <c:v>3.4169999999999998</c:v>
                </c:pt>
                <c:pt idx="1578">
                  <c:v>3.2719999999999998</c:v>
                </c:pt>
                <c:pt idx="1579">
                  <c:v>3.3370000000000002</c:v>
                </c:pt>
                <c:pt idx="1580">
                  <c:v>3.246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BA-4C71-B8EA-47A104C6F2A6}"/>
            </c:ext>
          </c:extLst>
        </c:ser>
        <c:ser>
          <c:idx val="2"/>
          <c:order val="2"/>
          <c:tx>
            <c:v>5 Year Bond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'Risk Free Rate'!$A$10:$A$1590</c:f>
              <c:strCache>
                <c:ptCount val="1581"/>
                <c:pt idx="0">
                  <c:v>02-Jan-2019</c:v>
                </c:pt>
                <c:pt idx="1">
                  <c:v>03-Jan-2019</c:v>
                </c:pt>
                <c:pt idx="2">
                  <c:v>04-Jan-2019</c:v>
                </c:pt>
                <c:pt idx="3">
                  <c:v>07-Jan-2019</c:v>
                </c:pt>
                <c:pt idx="4">
                  <c:v>08-Jan-2019</c:v>
                </c:pt>
                <c:pt idx="5">
                  <c:v>09-Jan-2019</c:v>
                </c:pt>
                <c:pt idx="6">
                  <c:v>10-Jan-2019</c:v>
                </c:pt>
                <c:pt idx="7">
                  <c:v>2019-01-11</c:v>
                </c:pt>
                <c:pt idx="8">
                  <c:v>14-Jan-2019</c:v>
                </c:pt>
                <c:pt idx="9">
                  <c:v>15-Jan-2019</c:v>
                </c:pt>
                <c:pt idx="10">
                  <c:v>16-Jan-2019</c:v>
                </c:pt>
                <c:pt idx="11">
                  <c:v>17-Jan-2019</c:v>
                </c:pt>
                <c:pt idx="12">
                  <c:v>18-Jan-2019</c:v>
                </c:pt>
                <c:pt idx="13">
                  <c:v>21-Jan-2019</c:v>
                </c:pt>
                <c:pt idx="14">
                  <c:v>22-Jan-2019</c:v>
                </c:pt>
                <c:pt idx="15">
                  <c:v>23-Jan-2019</c:v>
                </c:pt>
                <c:pt idx="16">
                  <c:v>24-Jan-2019</c:v>
                </c:pt>
                <c:pt idx="17">
                  <c:v>25-Jan-2019</c:v>
                </c:pt>
                <c:pt idx="18">
                  <c:v>29-Jan-2019</c:v>
                </c:pt>
                <c:pt idx="19">
                  <c:v>30-Jan-2019</c:v>
                </c:pt>
                <c:pt idx="20">
                  <c:v>31-Jan-2019</c:v>
                </c:pt>
                <c:pt idx="21">
                  <c:v>01-Feb-2019</c:v>
                </c:pt>
                <c:pt idx="22">
                  <c:v>04-Feb-2019</c:v>
                </c:pt>
                <c:pt idx="23">
                  <c:v>05-Feb-2019</c:v>
                </c:pt>
                <c:pt idx="24">
                  <c:v>06-Feb-2019</c:v>
                </c:pt>
                <c:pt idx="25">
                  <c:v>07-Feb-2019</c:v>
                </c:pt>
                <c:pt idx="26">
                  <c:v>08-Feb-2019</c:v>
                </c:pt>
                <c:pt idx="27">
                  <c:v>11-Feb-2019</c:v>
                </c:pt>
                <c:pt idx="28">
                  <c:v>12-Feb-2019</c:v>
                </c:pt>
                <c:pt idx="29">
                  <c:v>13-Feb-2019</c:v>
                </c:pt>
                <c:pt idx="30">
                  <c:v>14-Feb-2019</c:v>
                </c:pt>
                <c:pt idx="31">
                  <c:v>15-Feb-2019</c:v>
                </c:pt>
                <c:pt idx="32">
                  <c:v>18-Feb-2019</c:v>
                </c:pt>
                <c:pt idx="33">
                  <c:v>19-Feb-2019</c:v>
                </c:pt>
                <c:pt idx="34">
                  <c:v>20-Feb-2019</c:v>
                </c:pt>
                <c:pt idx="35">
                  <c:v>21-Feb-2019</c:v>
                </c:pt>
                <c:pt idx="36">
                  <c:v>22-Feb-2019</c:v>
                </c:pt>
                <c:pt idx="37">
                  <c:v>25-Feb-2019</c:v>
                </c:pt>
                <c:pt idx="38">
                  <c:v>26-Feb-2019</c:v>
                </c:pt>
                <c:pt idx="39">
                  <c:v>27-Feb-2019</c:v>
                </c:pt>
                <c:pt idx="40">
                  <c:v>28-Feb-2019</c:v>
                </c:pt>
                <c:pt idx="41">
                  <c:v>01-Mar-2019</c:v>
                </c:pt>
                <c:pt idx="42">
                  <c:v>04-Mar-2019</c:v>
                </c:pt>
                <c:pt idx="43">
                  <c:v>05-Mar-2019</c:v>
                </c:pt>
                <c:pt idx="44">
                  <c:v>06-Mar-2019</c:v>
                </c:pt>
                <c:pt idx="45">
                  <c:v>07-Mar-2019</c:v>
                </c:pt>
                <c:pt idx="46">
                  <c:v>08-Mar-2019</c:v>
                </c:pt>
                <c:pt idx="47">
                  <c:v>11-Mar-2019</c:v>
                </c:pt>
                <c:pt idx="48">
                  <c:v>12-Mar-2019</c:v>
                </c:pt>
                <c:pt idx="49">
                  <c:v>13-Mar-2019</c:v>
                </c:pt>
                <c:pt idx="50">
                  <c:v>14-Mar-2019</c:v>
                </c:pt>
                <c:pt idx="51">
                  <c:v>15-Mar-2019</c:v>
                </c:pt>
                <c:pt idx="52">
                  <c:v>18-Mar-2019</c:v>
                </c:pt>
                <c:pt idx="53">
                  <c:v>19-Mar-2019</c:v>
                </c:pt>
                <c:pt idx="54">
                  <c:v>20-Mar-2019</c:v>
                </c:pt>
                <c:pt idx="55">
                  <c:v>21-Mar-2019</c:v>
                </c:pt>
                <c:pt idx="56">
                  <c:v>22-Mar-2019</c:v>
                </c:pt>
                <c:pt idx="57">
                  <c:v>25-Mar-2019</c:v>
                </c:pt>
                <c:pt idx="58">
                  <c:v>26-Mar-2019</c:v>
                </c:pt>
                <c:pt idx="59">
                  <c:v>27-Mar-2019</c:v>
                </c:pt>
                <c:pt idx="60">
                  <c:v>28-Mar-2019</c:v>
                </c:pt>
                <c:pt idx="61">
                  <c:v>29-Mar-2019</c:v>
                </c:pt>
                <c:pt idx="62">
                  <c:v>01-Apr-2019</c:v>
                </c:pt>
                <c:pt idx="63">
                  <c:v>02-Apr-2019</c:v>
                </c:pt>
                <c:pt idx="64">
                  <c:v>03-Apr-2019</c:v>
                </c:pt>
                <c:pt idx="65">
                  <c:v>04-Apr-2019</c:v>
                </c:pt>
                <c:pt idx="66">
                  <c:v>05-Apr-2019</c:v>
                </c:pt>
                <c:pt idx="67">
                  <c:v>08-Apr-2019</c:v>
                </c:pt>
                <c:pt idx="68">
                  <c:v>09-Apr-2019</c:v>
                </c:pt>
                <c:pt idx="69">
                  <c:v>10-Apr-2019</c:v>
                </c:pt>
                <c:pt idx="70">
                  <c:v>11-Apr-2019</c:v>
                </c:pt>
                <c:pt idx="71">
                  <c:v>12-Apr-2019</c:v>
                </c:pt>
                <c:pt idx="72">
                  <c:v>15-Apr-2019</c:v>
                </c:pt>
                <c:pt idx="73">
                  <c:v>16-Apr-2019</c:v>
                </c:pt>
                <c:pt idx="74">
                  <c:v>17-Apr-2019</c:v>
                </c:pt>
                <c:pt idx="75">
                  <c:v>18-Apr-2019</c:v>
                </c:pt>
                <c:pt idx="76">
                  <c:v>23-Apr-2019</c:v>
                </c:pt>
                <c:pt idx="77">
                  <c:v>24-Apr-2019</c:v>
                </c:pt>
                <c:pt idx="78">
                  <c:v>26-Apr-2019</c:v>
                </c:pt>
                <c:pt idx="79">
                  <c:v>29-Apr-2019</c:v>
                </c:pt>
                <c:pt idx="80">
                  <c:v>30-Apr-2019</c:v>
                </c:pt>
                <c:pt idx="81">
                  <c:v>01-May-2019</c:v>
                </c:pt>
                <c:pt idx="82">
                  <c:v>02-May-2019</c:v>
                </c:pt>
                <c:pt idx="83">
                  <c:v>03-May-2019</c:v>
                </c:pt>
                <c:pt idx="84">
                  <c:v>06-May-2019</c:v>
                </c:pt>
                <c:pt idx="85">
                  <c:v>07-May-2019</c:v>
                </c:pt>
                <c:pt idx="86">
                  <c:v>08-May-2019</c:v>
                </c:pt>
                <c:pt idx="87">
                  <c:v>09-May-2019</c:v>
                </c:pt>
                <c:pt idx="88">
                  <c:v>10-May-2019</c:v>
                </c:pt>
                <c:pt idx="89">
                  <c:v>13-May-2019</c:v>
                </c:pt>
                <c:pt idx="90">
                  <c:v>14-May-2019</c:v>
                </c:pt>
                <c:pt idx="91">
                  <c:v>15-May-2019</c:v>
                </c:pt>
                <c:pt idx="92">
                  <c:v>16-May-2019</c:v>
                </c:pt>
                <c:pt idx="93">
                  <c:v>17-May-2019</c:v>
                </c:pt>
                <c:pt idx="94">
                  <c:v>20-May-2019</c:v>
                </c:pt>
                <c:pt idx="95">
                  <c:v>21-May-2019</c:v>
                </c:pt>
                <c:pt idx="96">
                  <c:v>22-May-2019</c:v>
                </c:pt>
                <c:pt idx="97">
                  <c:v>23-May-2019</c:v>
                </c:pt>
                <c:pt idx="98">
                  <c:v>24-May-2019</c:v>
                </c:pt>
                <c:pt idx="99">
                  <c:v>27-May-2019</c:v>
                </c:pt>
                <c:pt idx="100">
                  <c:v>28-May-2019</c:v>
                </c:pt>
                <c:pt idx="101">
                  <c:v>29-May-2019</c:v>
                </c:pt>
                <c:pt idx="102">
                  <c:v>30-May-2019</c:v>
                </c:pt>
                <c:pt idx="103">
                  <c:v>31-May-2019</c:v>
                </c:pt>
                <c:pt idx="104">
                  <c:v>03-Jun-2019</c:v>
                </c:pt>
                <c:pt idx="105">
                  <c:v>04-Jun-2019</c:v>
                </c:pt>
                <c:pt idx="106">
                  <c:v>05-Jun-2019</c:v>
                </c:pt>
                <c:pt idx="107">
                  <c:v>06-Jun-2019</c:v>
                </c:pt>
                <c:pt idx="108">
                  <c:v>07-Jun-2019</c:v>
                </c:pt>
                <c:pt idx="109">
                  <c:v>11-Jun-2019</c:v>
                </c:pt>
                <c:pt idx="110">
                  <c:v>12-Jun-2019</c:v>
                </c:pt>
                <c:pt idx="111">
                  <c:v>13-Jun-2019</c:v>
                </c:pt>
                <c:pt idx="112">
                  <c:v>14-Jun-2019</c:v>
                </c:pt>
                <c:pt idx="113">
                  <c:v>17-Jun-2019</c:v>
                </c:pt>
                <c:pt idx="114">
                  <c:v>18-Jun-2019</c:v>
                </c:pt>
                <c:pt idx="115">
                  <c:v>19-Jun-2019</c:v>
                </c:pt>
                <c:pt idx="116">
                  <c:v>20-Jun-2019</c:v>
                </c:pt>
                <c:pt idx="117">
                  <c:v>21-Jun-2019</c:v>
                </c:pt>
                <c:pt idx="118">
                  <c:v>24-Jun-2019</c:v>
                </c:pt>
                <c:pt idx="119">
                  <c:v>25-Jun-2019</c:v>
                </c:pt>
                <c:pt idx="120">
                  <c:v>26-Jun-2019</c:v>
                </c:pt>
                <c:pt idx="121">
                  <c:v>27-Jun-2019</c:v>
                </c:pt>
                <c:pt idx="122">
                  <c:v>28-Jun-2019</c:v>
                </c:pt>
                <c:pt idx="123">
                  <c:v>01-Jul-2019</c:v>
                </c:pt>
                <c:pt idx="124">
                  <c:v>02-Jul-2019</c:v>
                </c:pt>
                <c:pt idx="125">
                  <c:v>03-Jul-2019</c:v>
                </c:pt>
                <c:pt idx="126">
                  <c:v>04-Jul-2019</c:v>
                </c:pt>
                <c:pt idx="127">
                  <c:v>05-Jul-2019</c:v>
                </c:pt>
                <c:pt idx="128">
                  <c:v>08-Jul-2019</c:v>
                </c:pt>
                <c:pt idx="129">
                  <c:v>09-Jul-2019</c:v>
                </c:pt>
                <c:pt idx="130">
                  <c:v>10-Jul-2019</c:v>
                </c:pt>
                <c:pt idx="131">
                  <c:v>11-Jul-2019</c:v>
                </c:pt>
                <c:pt idx="132">
                  <c:v>12-Jul-2019</c:v>
                </c:pt>
                <c:pt idx="133">
                  <c:v>15-Jul-2019</c:v>
                </c:pt>
                <c:pt idx="134">
                  <c:v>16-Jul-2019</c:v>
                </c:pt>
                <c:pt idx="135">
                  <c:v>17-Jul-2019</c:v>
                </c:pt>
                <c:pt idx="136">
                  <c:v>18-Jul-2019</c:v>
                </c:pt>
                <c:pt idx="137">
                  <c:v>19-Jul-2019</c:v>
                </c:pt>
                <c:pt idx="138">
                  <c:v>22-Jul-2019</c:v>
                </c:pt>
                <c:pt idx="139">
                  <c:v>23-Jul-2019</c:v>
                </c:pt>
                <c:pt idx="140">
                  <c:v>24-Jul-2019</c:v>
                </c:pt>
                <c:pt idx="141">
                  <c:v>25-Jul-2019</c:v>
                </c:pt>
                <c:pt idx="142">
                  <c:v>26-Jul-2019</c:v>
                </c:pt>
                <c:pt idx="143">
                  <c:v>29-Jul-2019</c:v>
                </c:pt>
                <c:pt idx="144">
                  <c:v>30-Jul-2019</c:v>
                </c:pt>
                <c:pt idx="145">
                  <c:v>31-Jul-2019</c:v>
                </c:pt>
                <c:pt idx="146">
                  <c:v>01-Aug-2019</c:v>
                </c:pt>
                <c:pt idx="147">
                  <c:v>02-Aug-2019</c:v>
                </c:pt>
                <c:pt idx="148">
                  <c:v>05-Aug-2019</c:v>
                </c:pt>
                <c:pt idx="149">
                  <c:v>06-Aug-2019</c:v>
                </c:pt>
                <c:pt idx="150">
                  <c:v>07-Aug-2019</c:v>
                </c:pt>
                <c:pt idx="151">
                  <c:v>08-Aug-2019</c:v>
                </c:pt>
                <c:pt idx="152">
                  <c:v>09-Aug-2019</c:v>
                </c:pt>
                <c:pt idx="153">
                  <c:v>12-Aug-2019</c:v>
                </c:pt>
                <c:pt idx="154">
                  <c:v>13-Aug-2019</c:v>
                </c:pt>
                <c:pt idx="155">
                  <c:v>14-Aug-2019</c:v>
                </c:pt>
                <c:pt idx="156">
                  <c:v>15-Aug-2019</c:v>
                </c:pt>
                <c:pt idx="157">
                  <c:v>16-Aug-2019</c:v>
                </c:pt>
                <c:pt idx="158">
                  <c:v>19-Aug-2019</c:v>
                </c:pt>
                <c:pt idx="159">
                  <c:v>20-Aug-2019</c:v>
                </c:pt>
                <c:pt idx="160">
                  <c:v>21-Aug-2019</c:v>
                </c:pt>
                <c:pt idx="161">
                  <c:v>22-Aug-2019</c:v>
                </c:pt>
                <c:pt idx="162">
                  <c:v>23-Aug-2019</c:v>
                </c:pt>
                <c:pt idx="163">
                  <c:v>26-Aug-2019</c:v>
                </c:pt>
                <c:pt idx="164">
                  <c:v>27-Aug-2019</c:v>
                </c:pt>
                <c:pt idx="165">
                  <c:v>28-Aug-2019</c:v>
                </c:pt>
                <c:pt idx="166">
                  <c:v>29-Aug-2019</c:v>
                </c:pt>
                <c:pt idx="167">
                  <c:v>30-Aug-2019</c:v>
                </c:pt>
                <c:pt idx="168">
                  <c:v>02-Sep-2019</c:v>
                </c:pt>
                <c:pt idx="169">
                  <c:v>03-Sep-2019</c:v>
                </c:pt>
                <c:pt idx="170">
                  <c:v>04-Sep-2019</c:v>
                </c:pt>
                <c:pt idx="171">
                  <c:v>05-Sep-2019</c:v>
                </c:pt>
                <c:pt idx="172">
                  <c:v>06-Sep-2019</c:v>
                </c:pt>
                <c:pt idx="173">
                  <c:v>09-Sep-2019</c:v>
                </c:pt>
                <c:pt idx="174">
                  <c:v>10-Sep-2019</c:v>
                </c:pt>
                <c:pt idx="175">
                  <c:v>11-Sep-2019</c:v>
                </c:pt>
                <c:pt idx="176">
                  <c:v>12-Sep-2019</c:v>
                </c:pt>
                <c:pt idx="177">
                  <c:v>13-Sep-2019</c:v>
                </c:pt>
                <c:pt idx="178">
                  <c:v>16-Sep-2019</c:v>
                </c:pt>
                <c:pt idx="179">
                  <c:v>17-Sep-2019</c:v>
                </c:pt>
                <c:pt idx="180">
                  <c:v>18-Sep-2019</c:v>
                </c:pt>
                <c:pt idx="181">
                  <c:v>19-Sep-2019</c:v>
                </c:pt>
                <c:pt idx="182">
                  <c:v>20-Sep-2019</c:v>
                </c:pt>
                <c:pt idx="183">
                  <c:v>23-Sep-2019</c:v>
                </c:pt>
                <c:pt idx="184">
                  <c:v>24-Sep-2019</c:v>
                </c:pt>
                <c:pt idx="185">
                  <c:v>25-Sep-2019</c:v>
                </c:pt>
                <c:pt idx="186">
                  <c:v>26-Sep-2019</c:v>
                </c:pt>
                <c:pt idx="187">
                  <c:v>27-Sep-2019</c:v>
                </c:pt>
                <c:pt idx="188">
                  <c:v>30-Sep-2019</c:v>
                </c:pt>
                <c:pt idx="189">
                  <c:v>01-Oct-2019</c:v>
                </c:pt>
                <c:pt idx="190">
                  <c:v>02-Oct-2019</c:v>
                </c:pt>
                <c:pt idx="191">
                  <c:v>03-Oct-2019</c:v>
                </c:pt>
                <c:pt idx="192">
                  <c:v>04-Oct-2019</c:v>
                </c:pt>
                <c:pt idx="193">
                  <c:v>08-Oct-2019</c:v>
                </c:pt>
                <c:pt idx="194">
                  <c:v>09-Oct-2019</c:v>
                </c:pt>
                <c:pt idx="195">
                  <c:v>10-Oct-2019</c:v>
                </c:pt>
                <c:pt idx="196">
                  <c:v>11-Oct-2019</c:v>
                </c:pt>
                <c:pt idx="197">
                  <c:v>14-Oct-2019</c:v>
                </c:pt>
                <c:pt idx="198">
                  <c:v>15-Oct-2019</c:v>
                </c:pt>
                <c:pt idx="199">
                  <c:v>16-Oct-2019</c:v>
                </c:pt>
                <c:pt idx="200">
                  <c:v>17-Oct-2019</c:v>
                </c:pt>
                <c:pt idx="201">
                  <c:v>18-Oct-2019</c:v>
                </c:pt>
                <c:pt idx="202">
                  <c:v>21-Oct-2019</c:v>
                </c:pt>
                <c:pt idx="203">
                  <c:v>22-Oct-2019</c:v>
                </c:pt>
                <c:pt idx="204">
                  <c:v>23-Oct-2019</c:v>
                </c:pt>
                <c:pt idx="205">
                  <c:v>24-Oct-2019</c:v>
                </c:pt>
                <c:pt idx="206">
                  <c:v>25-Oct-2019</c:v>
                </c:pt>
                <c:pt idx="207">
                  <c:v>28-Oct-2019</c:v>
                </c:pt>
                <c:pt idx="208">
                  <c:v>29-Oct-2019</c:v>
                </c:pt>
                <c:pt idx="209">
                  <c:v>30-Oct-2019</c:v>
                </c:pt>
                <c:pt idx="210">
                  <c:v>31-Oct-2019</c:v>
                </c:pt>
                <c:pt idx="211">
                  <c:v>01-Nov-2019</c:v>
                </c:pt>
                <c:pt idx="212">
                  <c:v>04-Nov-2019</c:v>
                </c:pt>
                <c:pt idx="213">
                  <c:v>05-Nov-2019</c:v>
                </c:pt>
                <c:pt idx="214">
                  <c:v>06-Nov-2019</c:v>
                </c:pt>
                <c:pt idx="215">
                  <c:v>07-Nov-2019</c:v>
                </c:pt>
                <c:pt idx="216">
                  <c:v>08-Nov-2019</c:v>
                </c:pt>
                <c:pt idx="217">
                  <c:v>11-Nov-2019</c:v>
                </c:pt>
                <c:pt idx="218">
                  <c:v>12-Nov-2019</c:v>
                </c:pt>
                <c:pt idx="219">
                  <c:v>13-Nov-2019</c:v>
                </c:pt>
                <c:pt idx="220">
                  <c:v>14-Nov-2019</c:v>
                </c:pt>
                <c:pt idx="221">
                  <c:v>15-Nov-2019</c:v>
                </c:pt>
                <c:pt idx="222">
                  <c:v>18-Nov-2019</c:v>
                </c:pt>
                <c:pt idx="223">
                  <c:v>19-Nov-2019</c:v>
                </c:pt>
                <c:pt idx="224">
                  <c:v>20-Nov-2019</c:v>
                </c:pt>
                <c:pt idx="225">
                  <c:v>21-Nov-2019</c:v>
                </c:pt>
                <c:pt idx="226">
                  <c:v>22-Nov-2019</c:v>
                </c:pt>
                <c:pt idx="227">
                  <c:v>25-Nov-2019</c:v>
                </c:pt>
                <c:pt idx="228">
                  <c:v>26-Nov-2019</c:v>
                </c:pt>
                <c:pt idx="229">
                  <c:v>27-Nov-2019</c:v>
                </c:pt>
                <c:pt idx="230">
                  <c:v>28-Nov-2019</c:v>
                </c:pt>
                <c:pt idx="231">
                  <c:v>29-Nov-2019</c:v>
                </c:pt>
                <c:pt idx="232">
                  <c:v>02-Dec-2019</c:v>
                </c:pt>
                <c:pt idx="233">
                  <c:v>03-Dec-2019</c:v>
                </c:pt>
                <c:pt idx="234">
                  <c:v>04-Dec-2019</c:v>
                </c:pt>
                <c:pt idx="235">
                  <c:v>05-Dec-2019</c:v>
                </c:pt>
                <c:pt idx="236">
                  <c:v>06-Dec-2019</c:v>
                </c:pt>
                <c:pt idx="237">
                  <c:v>09-Dec-2019</c:v>
                </c:pt>
                <c:pt idx="238">
                  <c:v>10-Dec-2019</c:v>
                </c:pt>
                <c:pt idx="239">
                  <c:v>11-Dec-2019</c:v>
                </c:pt>
                <c:pt idx="240">
                  <c:v>12-Dec-2019</c:v>
                </c:pt>
                <c:pt idx="241">
                  <c:v>13-Dec-2019</c:v>
                </c:pt>
                <c:pt idx="242">
                  <c:v>16-Dec-2019</c:v>
                </c:pt>
                <c:pt idx="243">
                  <c:v>17-Dec-2019</c:v>
                </c:pt>
                <c:pt idx="244">
                  <c:v>18-Dec-2019</c:v>
                </c:pt>
                <c:pt idx="245">
                  <c:v>19-Dec-2019</c:v>
                </c:pt>
                <c:pt idx="246">
                  <c:v>20-Dec-2019</c:v>
                </c:pt>
                <c:pt idx="247">
                  <c:v>23-Dec-2019</c:v>
                </c:pt>
                <c:pt idx="248">
                  <c:v>24-Dec-2019</c:v>
                </c:pt>
                <c:pt idx="249">
                  <c:v>27-Dec-2019</c:v>
                </c:pt>
                <c:pt idx="250">
                  <c:v>30-Dec-2019</c:v>
                </c:pt>
                <c:pt idx="251">
                  <c:v>31-Dec-2019</c:v>
                </c:pt>
                <c:pt idx="252">
                  <c:v>02-Jan-2020</c:v>
                </c:pt>
                <c:pt idx="253">
                  <c:v>03-Jan-2020</c:v>
                </c:pt>
                <c:pt idx="254">
                  <c:v>06-Jan-2020</c:v>
                </c:pt>
                <c:pt idx="255">
                  <c:v>07-Jan-2020</c:v>
                </c:pt>
                <c:pt idx="256">
                  <c:v>08-Jan-2020</c:v>
                </c:pt>
                <c:pt idx="257">
                  <c:v>09-Jan-2020</c:v>
                </c:pt>
                <c:pt idx="258">
                  <c:v>10-Jan-2020</c:v>
                </c:pt>
                <c:pt idx="259">
                  <c:v>13-Jan-2020</c:v>
                </c:pt>
                <c:pt idx="260">
                  <c:v>14-Jan-2020</c:v>
                </c:pt>
                <c:pt idx="261">
                  <c:v>15-Jan-2020</c:v>
                </c:pt>
                <c:pt idx="262">
                  <c:v>16-Jan-2020</c:v>
                </c:pt>
                <c:pt idx="263">
                  <c:v>17-Jan-2020</c:v>
                </c:pt>
                <c:pt idx="264">
                  <c:v>20-Jan-2020</c:v>
                </c:pt>
                <c:pt idx="265">
                  <c:v>21-Jan-2020</c:v>
                </c:pt>
                <c:pt idx="266">
                  <c:v>22-Jan-2020</c:v>
                </c:pt>
                <c:pt idx="267">
                  <c:v>23-Jan-2020</c:v>
                </c:pt>
                <c:pt idx="268">
                  <c:v>24-Jan-2020</c:v>
                </c:pt>
                <c:pt idx="269">
                  <c:v>28-Jan-2020</c:v>
                </c:pt>
                <c:pt idx="270">
                  <c:v>29-Jan-2020</c:v>
                </c:pt>
                <c:pt idx="271">
                  <c:v>30-Jan-2020</c:v>
                </c:pt>
                <c:pt idx="272">
                  <c:v>31-Jan-2020</c:v>
                </c:pt>
                <c:pt idx="273">
                  <c:v>03-Feb-2020</c:v>
                </c:pt>
                <c:pt idx="274">
                  <c:v>04-Feb-2020</c:v>
                </c:pt>
                <c:pt idx="275">
                  <c:v>05-Feb-2020</c:v>
                </c:pt>
                <c:pt idx="276">
                  <c:v>06-Feb-2020</c:v>
                </c:pt>
                <c:pt idx="277">
                  <c:v>07-Feb-2020</c:v>
                </c:pt>
                <c:pt idx="278">
                  <c:v>10-Feb-2020</c:v>
                </c:pt>
                <c:pt idx="279">
                  <c:v>11-Feb-2020</c:v>
                </c:pt>
                <c:pt idx="280">
                  <c:v>12-Feb-2020</c:v>
                </c:pt>
                <c:pt idx="281">
                  <c:v>13-Feb-2020</c:v>
                </c:pt>
                <c:pt idx="282">
                  <c:v>14-Feb-2020</c:v>
                </c:pt>
                <c:pt idx="283">
                  <c:v>17-Feb-2020</c:v>
                </c:pt>
                <c:pt idx="284">
                  <c:v>18-Feb-2020</c:v>
                </c:pt>
                <c:pt idx="285">
                  <c:v>19-Feb-2020</c:v>
                </c:pt>
                <c:pt idx="286">
                  <c:v>20-Feb-2020</c:v>
                </c:pt>
                <c:pt idx="287">
                  <c:v>21-Feb-2020</c:v>
                </c:pt>
                <c:pt idx="288">
                  <c:v>24-Feb-2020</c:v>
                </c:pt>
                <c:pt idx="289">
                  <c:v>25-Feb-2020</c:v>
                </c:pt>
                <c:pt idx="290">
                  <c:v>26-Feb-2020</c:v>
                </c:pt>
                <c:pt idx="291">
                  <c:v>27-Feb-2020</c:v>
                </c:pt>
                <c:pt idx="292">
                  <c:v>28-Feb-2020</c:v>
                </c:pt>
                <c:pt idx="293">
                  <c:v>02-Mar-2020</c:v>
                </c:pt>
                <c:pt idx="294">
                  <c:v>03-Mar-2020</c:v>
                </c:pt>
                <c:pt idx="295">
                  <c:v>04-Mar-2020</c:v>
                </c:pt>
                <c:pt idx="296">
                  <c:v>05-Mar-2020</c:v>
                </c:pt>
                <c:pt idx="297">
                  <c:v>06-Mar-2020</c:v>
                </c:pt>
                <c:pt idx="298">
                  <c:v>09-Mar-2020</c:v>
                </c:pt>
                <c:pt idx="299">
                  <c:v>10-Mar-2020</c:v>
                </c:pt>
                <c:pt idx="300">
                  <c:v>11-Mar-2020</c:v>
                </c:pt>
                <c:pt idx="301">
                  <c:v>12-Mar-2020</c:v>
                </c:pt>
                <c:pt idx="302">
                  <c:v>13-Mar-2020</c:v>
                </c:pt>
                <c:pt idx="303">
                  <c:v>16-Mar-2020</c:v>
                </c:pt>
                <c:pt idx="304">
                  <c:v>17-Mar-2020</c:v>
                </c:pt>
                <c:pt idx="305">
                  <c:v>18-Mar-2020</c:v>
                </c:pt>
                <c:pt idx="306">
                  <c:v>19-Mar-2020</c:v>
                </c:pt>
                <c:pt idx="307">
                  <c:v>20-Mar-2020</c:v>
                </c:pt>
                <c:pt idx="308">
                  <c:v>23-Mar-2020</c:v>
                </c:pt>
                <c:pt idx="309">
                  <c:v>24-Mar-2020</c:v>
                </c:pt>
                <c:pt idx="310">
                  <c:v>25-Mar-2020</c:v>
                </c:pt>
                <c:pt idx="311">
                  <c:v>26-Mar-2020</c:v>
                </c:pt>
                <c:pt idx="312">
                  <c:v>27-Mar-2020</c:v>
                </c:pt>
                <c:pt idx="313">
                  <c:v>30-Mar-2020</c:v>
                </c:pt>
                <c:pt idx="314">
                  <c:v>31-Mar-2020</c:v>
                </c:pt>
                <c:pt idx="315">
                  <c:v>01-Apr-2020</c:v>
                </c:pt>
                <c:pt idx="316">
                  <c:v>02-Apr-2020</c:v>
                </c:pt>
                <c:pt idx="317">
                  <c:v>03-Apr-2020</c:v>
                </c:pt>
                <c:pt idx="318">
                  <c:v>06-Apr-2020</c:v>
                </c:pt>
                <c:pt idx="319">
                  <c:v>07-Apr-2020</c:v>
                </c:pt>
                <c:pt idx="320">
                  <c:v>08-Apr-2020</c:v>
                </c:pt>
                <c:pt idx="321">
                  <c:v>09-Apr-2020</c:v>
                </c:pt>
                <c:pt idx="322">
                  <c:v>14-Apr-2020</c:v>
                </c:pt>
                <c:pt idx="323">
                  <c:v>15-Apr-2020</c:v>
                </c:pt>
                <c:pt idx="324">
                  <c:v>16-Apr-2020</c:v>
                </c:pt>
                <c:pt idx="325">
                  <c:v>17-Apr-2020</c:v>
                </c:pt>
                <c:pt idx="326">
                  <c:v>20-Apr-2020</c:v>
                </c:pt>
                <c:pt idx="327">
                  <c:v>21-Apr-2020</c:v>
                </c:pt>
                <c:pt idx="328">
                  <c:v>22-Apr-2020</c:v>
                </c:pt>
                <c:pt idx="329">
                  <c:v>23-Apr-2020</c:v>
                </c:pt>
                <c:pt idx="330">
                  <c:v>24-Apr-2020</c:v>
                </c:pt>
                <c:pt idx="331">
                  <c:v>27-Apr-2020</c:v>
                </c:pt>
                <c:pt idx="332">
                  <c:v>28-Apr-2020</c:v>
                </c:pt>
                <c:pt idx="333">
                  <c:v>29-Apr-2020</c:v>
                </c:pt>
                <c:pt idx="334">
                  <c:v>30-Apr-2020</c:v>
                </c:pt>
                <c:pt idx="335">
                  <c:v>01-May-2020</c:v>
                </c:pt>
                <c:pt idx="336">
                  <c:v>04-May-2020</c:v>
                </c:pt>
                <c:pt idx="337">
                  <c:v>05-May-2020</c:v>
                </c:pt>
                <c:pt idx="338">
                  <c:v>06-May-2020</c:v>
                </c:pt>
                <c:pt idx="339">
                  <c:v>07-May-2020</c:v>
                </c:pt>
                <c:pt idx="340">
                  <c:v>08-May-2020</c:v>
                </c:pt>
                <c:pt idx="341">
                  <c:v>11-May-2020</c:v>
                </c:pt>
                <c:pt idx="342">
                  <c:v>12-May-2020</c:v>
                </c:pt>
                <c:pt idx="343">
                  <c:v>13-May-2020</c:v>
                </c:pt>
                <c:pt idx="344">
                  <c:v>14-May-2020</c:v>
                </c:pt>
                <c:pt idx="345">
                  <c:v>15-May-2020</c:v>
                </c:pt>
                <c:pt idx="346">
                  <c:v>18-May-2020</c:v>
                </c:pt>
                <c:pt idx="347">
                  <c:v>19-May-2020</c:v>
                </c:pt>
                <c:pt idx="348">
                  <c:v>20-May-2020</c:v>
                </c:pt>
                <c:pt idx="349">
                  <c:v>21-May-2020</c:v>
                </c:pt>
                <c:pt idx="350">
                  <c:v>22-May-2020</c:v>
                </c:pt>
                <c:pt idx="351">
                  <c:v>25-May-2020</c:v>
                </c:pt>
                <c:pt idx="352">
                  <c:v>26-May-2020</c:v>
                </c:pt>
                <c:pt idx="353">
                  <c:v>27-May-2020</c:v>
                </c:pt>
                <c:pt idx="354">
                  <c:v>28-May-2020</c:v>
                </c:pt>
                <c:pt idx="355">
                  <c:v>29-May-2020</c:v>
                </c:pt>
                <c:pt idx="356">
                  <c:v>01-Jun-2020</c:v>
                </c:pt>
                <c:pt idx="357">
                  <c:v>02-Jun-2020</c:v>
                </c:pt>
                <c:pt idx="358">
                  <c:v>03-Jun-2020</c:v>
                </c:pt>
                <c:pt idx="359">
                  <c:v>04-Jun-2020</c:v>
                </c:pt>
                <c:pt idx="360">
                  <c:v>05-Jun-2020</c:v>
                </c:pt>
                <c:pt idx="361">
                  <c:v>09-Jun-2020</c:v>
                </c:pt>
                <c:pt idx="362">
                  <c:v>10-Jun-2020</c:v>
                </c:pt>
                <c:pt idx="363">
                  <c:v>11-Jun-2020</c:v>
                </c:pt>
                <c:pt idx="364">
                  <c:v>12-Jun-2020</c:v>
                </c:pt>
                <c:pt idx="365">
                  <c:v>15-Jun-2020</c:v>
                </c:pt>
                <c:pt idx="366">
                  <c:v>16-Jun-2020</c:v>
                </c:pt>
                <c:pt idx="367">
                  <c:v>17-Jun-2020</c:v>
                </c:pt>
                <c:pt idx="368">
                  <c:v>18-Jun-2020</c:v>
                </c:pt>
                <c:pt idx="369">
                  <c:v>19-Jun-2020</c:v>
                </c:pt>
                <c:pt idx="370">
                  <c:v>22-Jun-2020</c:v>
                </c:pt>
                <c:pt idx="371">
                  <c:v>23-Jun-2020</c:v>
                </c:pt>
                <c:pt idx="372">
                  <c:v>24-Jun-2020</c:v>
                </c:pt>
                <c:pt idx="373">
                  <c:v>25-Jun-2020</c:v>
                </c:pt>
                <c:pt idx="374">
                  <c:v>26-Jun-2020</c:v>
                </c:pt>
                <c:pt idx="375">
                  <c:v>29-Jun-2020</c:v>
                </c:pt>
                <c:pt idx="376">
                  <c:v>30-Jun-2020</c:v>
                </c:pt>
                <c:pt idx="377">
                  <c:v>01-Jul-2020</c:v>
                </c:pt>
                <c:pt idx="378">
                  <c:v>02-Jul-2020</c:v>
                </c:pt>
                <c:pt idx="379">
                  <c:v>03-Jul-2020</c:v>
                </c:pt>
                <c:pt idx="380">
                  <c:v>06-Jul-2020</c:v>
                </c:pt>
                <c:pt idx="381">
                  <c:v>07-Jul-2020</c:v>
                </c:pt>
                <c:pt idx="382">
                  <c:v>08-Jul-2020</c:v>
                </c:pt>
                <c:pt idx="383">
                  <c:v>09-Jul-2020</c:v>
                </c:pt>
                <c:pt idx="384">
                  <c:v>10-Jul-2020</c:v>
                </c:pt>
                <c:pt idx="385">
                  <c:v>13-Jul-2020</c:v>
                </c:pt>
                <c:pt idx="386">
                  <c:v>14-Jul-2020</c:v>
                </c:pt>
                <c:pt idx="387">
                  <c:v>15-Jul-2020</c:v>
                </c:pt>
                <c:pt idx="388">
                  <c:v>16-Jul-2020</c:v>
                </c:pt>
                <c:pt idx="389">
                  <c:v>17-Jul-2020</c:v>
                </c:pt>
                <c:pt idx="390">
                  <c:v>20-Jul-2020</c:v>
                </c:pt>
                <c:pt idx="391">
                  <c:v>21-Jul-2020</c:v>
                </c:pt>
                <c:pt idx="392">
                  <c:v>22-Jul-2020</c:v>
                </c:pt>
                <c:pt idx="393">
                  <c:v>23-Jul-2020</c:v>
                </c:pt>
                <c:pt idx="394">
                  <c:v>24-Jul-2020</c:v>
                </c:pt>
                <c:pt idx="395">
                  <c:v>27-Jul-2020</c:v>
                </c:pt>
                <c:pt idx="396">
                  <c:v>28-Jul-2020</c:v>
                </c:pt>
                <c:pt idx="397">
                  <c:v>29-Jul-2020</c:v>
                </c:pt>
                <c:pt idx="398">
                  <c:v>30-Jul-2020</c:v>
                </c:pt>
                <c:pt idx="399">
                  <c:v>31-Jul-2020</c:v>
                </c:pt>
                <c:pt idx="400">
                  <c:v>03-Aug-2020</c:v>
                </c:pt>
                <c:pt idx="401">
                  <c:v>04-Aug-2020</c:v>
                </c:pt>
                <c:pt idx="402">
                  <c:v>05-Aug-2020</c:v>
                </c:pt>
                <c:pt idx="403">
                  <c:v>06-Aug-2020</c:v>
                </c:pt>
                <c:pt idx="404">
                  <c:v>07-Aug-2020</c:v>
                </c:pt>
                <c:pt idx="405">
                  <c:v>10-Aug-2020</c:v>
                </c:pt>
                <c:pt idx="406">
                  <c:v>11-Aug-2020</c:v>
                </c:pt>
                <c:pt idx="407">
                  <c:v>12-Aug-2020</c:v>
                </c:pt>
                <c:pt idx="408">
                  <c:v>13-Aug-2020</c:v>
                </c:pt>
                <c:pt idx="409">
                  <c:v>14-Aug-2020</c:v>
                </c:pt>
                <c:pt idx="410">
                  <c:v>17-Aug-2020</c:v>
                </c:pt>
                <c:pt idx="411">
                  <c:v>18-Aug-2020</c:v>
                </c:pt>
                <c:pt idx="412">
                  <c:v>19-Aug-2020</c:v>
                </c:pt>
                <c:pt idx="413">
                  <c:v>20-Aug-2020</c:v>
                </c:pt>
                <c:pt idx="414">
                  <c:v>21-Aug-2020</c:v>
                </c:pt>
                <c:pt idx="415">
                  <c:v>24-Aug-2020</c:v>
                </c:pt>
                <c:pt idx="416">
                  <c:v>25-Aug-2020</c:v>
                </c:pt>
                <c:pt idx="417">
                  <c:v>26-Aug-2020</c:v>
                </c:pt>
                <c:pt idx="418">
                  <c:v>27-Aug-2020</c:v>
                </c:pt>
                <c:pt idx="419">
                  <c:v>28-Aug-2020</c:v>
                </c:pt>
                <c:pt idx="420">
                  <c:v>31-Aug-2020</c:v>
                </c:pt>
                <c:pt idx="421">
                  <c:v>01-Sep-2020</c:v>
                </c:pt>
                <c:pt idx="422">
                  <c:v>02-Sep-2020</c:v>
                </c:pt>
                <c:pt idx="423">
                  <c:v>03-Sep-2020</c:v>
                </c:pt>
                <c:pt idx="424">
                  <c:v>04-Sep-2020</c:v>
                </c:pt>
                <c:pt idx="425">
                  <c:v>07-Sep-2020</c:v>
                </c:pt>
                <c:pt idx="426">
                  <c:v>08-Sep-2020</c:v>
                </c:pt>
                <c:pt idx="427">
                  <c:v>09-Sep-2020</c:v>
                </c:pt>
                <c:pt idx="428">
                  <c:v>10-Sep-2020</c:v>
                </c:pt>
                <c:pt idx="429">
                  <c:v>11-Sep-2020</c:v>
                </c:pt>
                <c:pt idx="430">
                  <c:v>14-Sep-2020</c:v>
                </c:pt>
                <c:pt idx="431">
                  <c:v>15-Sep-2020</c:v>
                </c:pt>
                <c:pt idx="432">
                  <c:v>16-Sep-2020</c:v>
                </c:pt>
                <c:pt idx="433">
                  <c:v>17-Sep-2020</c:v>
                </c:pt>
                <c:pt idx="434">
                  <c:v>18-Sep-2020</c:v>
                </c:pt>
                <c:pt idx="435">
                  <c:v>21-Sep-2020</c:v>
                </c:pt>
                <c:pt idx="436">
                  <c:v>22-Sep-2020</c:v>
                </c:pt>
                <c:pt idx="437">
                  <c:v>23-Sep-2020</c:v>
                </c:pt>
                <c:pt idx="438">
                  <c:v>24-Sep-2020</c:v>
                </c:pt>
                <c:pt idx="439">
                  <c:v>25-Sep-2020</c:v>
                </c:pt>
                <c:pt idx="440">
                  <c:v>28-Sep-2020</c:v>
                </c:pt>
                <c:pt idx="441">
                  <c:v>29-Sep-2020</c:v>
                </c:pt>
                <c:pt idx="442">
                  <c:v>30-Sep-2020</c:v>
                </c:pt>
                <c:pt idx="443">
                  <c:v>01-Oct-2020</c:v>
                </c:pt>
                <c:pt idx="444">
                  <c:v>02-Oct-2020</c:v>
                </c:pt>
                <c:pt idx="445">
                  <c:v>06-Oct-2020</c:v>
                </c:pt>
                <c:pt idx="446">
                  <c:v>07-Oct-2020</c:v>
                </c:pt>
                <c:pt idx="447">
                  <c:v>08-Oct-2020</c:v>
                </c:pt>
                <c:pt idx="448">
                  <c:v>09-Oct-2020</c:v>
                </c:pt>
                <c:pt idx="449">
                  <c:v>12-Oct-2020</c:v>
                </c:pt>
                <c:pt idx="450">
                  <c:v>13-Oct-2020</c:v>
                </c:pt>
                <c:pt idx="451">
                  <c:v>14-Oct-2020</c:v>
                </c:pt>
                <c:pt idx="452">
                  <c:v>15-Oct-2020</c:v>
                </c:pt>
                <c:pt idx="453">
                  <c:v>16-Oct-2020</c:v>
                </c:pt>
                <c:pt idx="454">
                  <c:v>19-Oct-2020</c:v>
                </c:pt>
                <c:pt idx="455">
                  <c:v>20-Oct-2020</c:v>
                </c:pt>
                <c:pt idx="456">
                  <c:v>21-Oct-2020</c:v>
                </c:pt>
                <c:pt idx="457">
                  <c:v>22-Oct-2020</c:v>
                </c:pt>
                <c:pt idx="458">
                  <c:v>23-Oct-2020</c:v>
                </c:pt>
                <c:pt idx="459">
                  <c:v>26-Oct-2020</c:v>
                </c:pt>
                <c:pt idx="460">
                  <c:v>27-Oct-2020</c:v>
                </c:pt>
                <c:pt idx="461">
                  <c:v>28-Oct-2020</c:v>
                </c:pt>
                <c:pt idx="462">
                  <c:v>29-Oct-2020</c:v>
                </c:pt>
                <c:pt idx="463">
                  <c:v>30-Oct-2020</c:v>
                </c:pt>
                <c:pt idx="464">
                  <c:v>02-Nov-2020</c:v>
                </c:pt>
                <c:pt idx="465">
                  <c:v>03-Nov-2020</c:v>
                </c:pt>
                <c:pt idx="466">
                  <c:v>04-Nov-2020</c:v>
                </c:pt>
                <c:pt idx="467">
                  <c:v>05-Nov-2020</c:v>
                </c:pt>
                <c:pt idx="468">
                  <c:v>06-Nov-2020</c:v>
                </c:pt>
                <c:pt idx="469">
                  <c:v>09-Nov-2020</c:v>
                </c:pt>
                <c:pt idx="470">
                  <c:v>10-Nov-2020</c:v>
                </c:pt>
                <c:pt idx="471">
                  <c:v>11-Nov-2020</c:v>
                </c:pt>
                <c:pt idx="472">
                  <c:v>12-Nov-2020</c:v>
                </c:pt>
                <c:pt idx="473">
                  <c:v>13-Nov-2020</c:v>
                </c:pt>
                <c:pt idx="474">
                  <c:v>16-Nov-2020</c:v>
                </c:pt>
                <c:pt idx="475">
                  <c:v>17-Nov-2020</c:v>
                </c:pt>
                <c:pt idx="476">
                  <c:v>18-Nov-2020</c:v>
                </c:pt>
                <c:pt idx="477">
                  <c:v>19-Nov-2020</c:v>
                </c:pt>
                <c:pt idx="478">
                  <c:v>20-Nov-2020</c:v>
                </c:pt>
                <c:pt idx="479">
                  <c:v>23-Nov-2020</c:v>
                </c:pt>
                <c:pt idx="480">
                  <c:v>24-Nov-2020</c:v>
                </c:pt>
                <c:pt idx="481">
                  <c:v>25-Nov-2020</c:v>
                </c:pt>
                <c:pt idx="482">
                  <c:v>26-Nov-2020</c:v>
                </c:pt>
                <c:pt idx="483">
                  <c:v>27-Nov-2020</c:v>
                </c:pt>
                <c:pt idx="484">
                  <c:v>30-Nov-2020</c:v>
                </c:pt>
                <c:pt idx="485">
                  <c:v>01-Dec-2020</c:v>
                </c:pt>
                <c:pt idx="486">
                  <c:v>02-Dec-2020</c:v>
                </c:pt>
                <c:pt idx="487">
                  <c:v>03-Dec-2020</c:v>
                </c:pt>
                <c:pt idx="488">
                  <c:v>04-Dec-2020</c:v>
                </c:pt>
                <c:pt idx="489">
                  <c:v>07-Dec-2020</c:v>
                </c:pt>
                <c:pt idx="490">
                  <c:v>08-Dec-2020</c:v>
                </c:pt>
                <c:pt idx="491">
                  <c:v>09-Dec-2020</c:v>
                </c:pt>
                <c:pt idx="492">
                  <c:v>10-Dec-2020</c:v>
                </c:pt>
                <c:pt idx="493">
                  <c:v>11-Dec-2020</c:v>
                </c:pt>
                <c:pt idx="494">
                  <c:v>14-Dec-2020</c:v>
                </c:pt>
                <c:pt idx="495">
                  <c:v>15-Dec-2020</c:v>
                </c:pt>
                <c:pt idx="496">
                  <c:v>16-Dec-2020</c:v>
                </c:pt>
                <c:pt idx="497">
                  <c:v>17-Dec-2020</c:v>
                </c:pt>
                <c:pt idx="498">
                  <c:v>18-Dec-2020</c:v>
                </c:pt>
                <c:pt idx="499">
                  <c:v>21-Dec-2020</c:v>
                </c:pt>
                <c:pt idx="500">
                  <c:v>22-Dec-2020</c:v>
                </c:pt>
                <c:pt idx="501">
                  <c:v>23-Dec-2020</c:v>
                </c:pt>
                <c:pt idx="502">
                  <c:v>24-Dec-2020</c:v>
                </c:pt>
                <c:pt idx="503">
                  <c:v>29-Dec-2020</c:v>
                </c:pt>
                <c:pt idx="504">
                  <c:v>30-Dec-2020</c:v>
                </c:pt>
                <c:pt idx="505">
                  <c:v>31-Dec-2020</c:v>
                </c:pt>
                <c:pt idx="506">
                  <c:v>04-Jan-2021</c:v>
                </c:pt>
                <c:pt idx="507">
                  <c:v>05-Jan-2021</c:v>
                </c:pt>
                <c:pt idx="508">
                  <c:v>06-Jan-2021</c:v>
                </c:pt>
                <c:pt idx="509">
                  <c:v>07-Jan-2021</c:v>
                </c:pt>
                <c:pt idx="510">
                  <c:v>08-Jan-2021</c:v>
                </c:pt>
                <c:pt idx="511">
                  <c:v>11-Jan-2021</c:v>
                </c:pt>
                <c:pt idx="512">
                  <c:v>12-Jan-2021</c:v>
                </c:pt>
                <c:pt idx="513">
                  <c:v>13-Jan-2021</c:v>
                </c:pt>
                <c:pt idx="514">
                  <c:v>14-Jan-2021</c:v>
                </c:pt>
                <c:pt idx="515">
                  <c:v>15-Jan-2021</c:v>
                </c:pt>
                <c:pt idx="516">
                  <c:v>18-Jan-2021</c:v>
                </c:pt>
                <c:pt idx="517">
                  <c:v>19-Jan-2021</c:v>
                </c:pt>
                <c:pt idx="518">
                  <c:v>20-Jan-2021</c:v>
                </c:pt>
                <c:pt idx="519">
                  <c:v>21-Jan-2021</c:v>
                </c:pt>
                <c:pt idx="520">
                  <c:v>22-Jan-2021</c:v>
                </c:pt>
                <c:pt idx="521">
                  <c:v>25-Jan-2021</c:v>
                </c:pt>
                <c:pt idx="522">
                  <c:v>27-Jan-2021</c:v>
                </c:pt>
                <c:pt idx="523">
                  <c:v>28-Jan-2021</c:v>
                </c:pt>
                <c:pt idx="524">
                  <c:v>29-Jan-2021</c:v>
                </c:pt>
                <c:pt idx="525">
                  <c:v>01-Feb-2021</c:v>
                </c:pt>
                <c:pt idx="526">
                  <c:v>02-Feb-2021</c:v>
                </c:pt>
                <c:pt idx="527">
                  <c:v>03-Feb-2021</c:v>
                </c:pt>
                <c:pt idx="528">
                  <c:v>04-Feb-2021</c:v>
                </c:pt>
                <c:pt idx="529">
                  <c:v>05-Feb-2021</c:v>
                </c:pt>
                <c:pt idx="530">
                  <c:v>08-Feb-2021</c:v>
                </c:pt>
                <c:pt idx="531">
                  <c:v>09-Feb-2021</c:v>
                </c:pt>
                <c:pt idx="532">
                  <c:v>10-Feb-2021</c:v>
                </c:pt>
                <c:pt idx="533">
                  <c:v>11-Feb-2021</c:v>
                </c:pt>
                <c:pt idx="534">
                  <c:v>12-Feb-2021</c:v>
                </c:pt>
                <c:pt idx="535">
                  <c:v>15-Feb-2021</c:v>
                </c:pt>
                <c:pt idx="536">
                  <c:v>16-Feb-2021</c:v>
                </c:pt>
                <c:pt idx="537">
                  <c:v>17-Feb-2021</c:v>
                </c:pt>
                <c:pt idx="538">
                  <c:v>18-Feb-2021</c:v>
                </c:pt>
                <c:pt idx="539">
                  <c:v>19-Feb-2021</c:v>
                </c:pt>
                <c:pt idx="540">
                  <c:v>22-Feb-2021</c:v>
                </c:pt>
                <c:pt idx="541">
                  <c:v>23-Feb-2021</c:v>
                </c:pt>
                <c:pt idx="542">
                  <c:v>24-Feb-2021</c:v>
                </c:pt>
                <c:pt idx="543">
                  <c:v>25-Feb-2021</c:v>
                </c:pt>
                <c:pt idx="544">
                  <c:v>26-Feb-2021</c:v>
                </c:pt>
                <c:pt idx="545">
                  <c:v>01-Mar-2021</c:v>
                </c:pt>
                <c:pt idx="546">
                  <c:v>02-Mar-2021</c:v>
                </c:pt>
                <c:pt idx="547">
                  <c:v>03-Mar-2021</c:v>
                </c:pt>
                <c:pt idx="548">
                  <c:v>04-Mar-2021</c:v>
                </c:pt>
                <c:pt idx="549">
                  <c:v>05-Mar-2021</c:v>
                </c:pt>
                <c:pt idx="550">
                  <c:v>08-Mar-2021</c:v>
                </c:pt>
                <c:pt idx="551">
                  <c:v>09-Mar-2021</c:v>
                </c:pt>
                <c:pt idx="552">
                  <c:v>10-Mar-2021</c:v>
                </c:pt>
                <c:pt idx="553">
                  <c:v>11-Mar-2021</c:v>
                </c:pt>
                <c:pt idx="554">
                  <c:v>12-Mar-2021</c:v>
                </c:pt>
                <c:pt idx="555">
                  <c:v>15-Mar-2021</c:v>
                </c:pt>
                <c:pt idx="556">
                  <c:v>16-Mar-2021</c:v>
                </c:pt>
                <c:pt idx="557">
                  <c:v>17-Mar-2021</c:v>
                </c:pt>
                <c:pt idx="558">
                  <c:v>18-Mar-2021</c:v>
                </c:pt>
                <c:pt idx="559">
                  <c:v>19-Mar-2021</c:v>
                </c:pt>
                <c:pt idx="560">
                  <c:v>22-Mar-2021</c:v>
                </c:pt>
                <c:pt idx="561">
                  <c:v>23-Mar-2021</c:v>
                </c:pt>
                <c:pt idx="562">
                  <c:v>24-Mar-2021</c:v>
                </c:pt>
                <c:pt idx="563">
                  <c:v>25-Mar-2021</c:v>
                </c:pt>
                <c:pt idx="564">
                  <c:v>26-Mar-2021</c:v>
                </c:pt>
                <c:pt idx="565">
                  <c:v>29-Mar-2021</c:v>
                </c:pt>
                <c:pt idx="566">
                  <c:v>30-Mar-2021</c:v>
                </c:pt>
                <c:pt idx="567">
                  <c:v>31-Mar-2021</c:v>
                </c:pt>
                <c:pt idx="568">
                  <c:v>01-Apr-2021</c:v>
                </c:pt>
                <c:pt idx="569">
                  <c:v>06-Apr-2021</c:v>
                </c:pt>
                <c:pt idx="570">
                  <c:v>07-Apr-2021</c:v>
                </c:pt>
                <c:pt idx="571">
                  <c:v>08-Apr-2021</c:v>
                </c:pt>
                <c:pt idx="572">
                  <c:v>09-Apr-2021</c:v>
                </c:pt>
                <c:pt idx="573">
                  <c:v>12-Apr-2021</c:v>
                </c:pt>
                <c:pt idx="574">
                  <c:v>13-Apr-2021</c:v>
                </c:pt>
                <c:pt idx="575">
                  <c:v>14-Apr-2021</c:v>
                </c:pt>
                <c:pt idx="576">
                  <c:v>15-Apr-2021</c:v>
                </c:pt>
                <c:pt idx="577">
                  <c:v>16-Apr-2021</c:v>
                </c:pt>
                <c:pt idx="578">
                  <c:v>19-Apr-2021</c:v>
                </c:pt>
                <c:pt idx="579">
                  <c:v>20-Apr-2021</c:v>
                </c:pt>
                <c:pt idx="580">
                  <c:v>21-Apr-2021</c:v>
                </c:pt>
                <c:pt idx="581">
                  <c:v>22-Apr-2021</c:v>
                </c:pt>
                <c:pt idx="582">
                  <c:v>23-Apr-2021</c:v>
                </c:pt>
                <c:pt idx="583">
                  <c:v>26-Apr-2021</c:v>
                </c:pt>
                <c:pt idx="584">
                  <c:v>27-Apr-2021</c:v>
                </c:pt>
                <c:pt idx="585">
                  <c:v>28-Apr-2021</c:v>
                </c:pt>
                <c:pt idx="586">
                  <c:v>29-Apr-2021</c:v>
                </c:pt>
                <c:pt idx="587">
                  <c:v>30-Apr-2021</c:v>
                </c:pt>
                <c:pt idx="588">
                  <c:v>03-May-2021</c:v>
                </c:pt>
                <c:pt idx="589">
                  <c:v>04-May-2021</c:v>
                </c:pt>
                <c:pt idx="590">
                  <c:v>05-May-2021</c:v>
                </c:pt>
                <c:pt idx="591">
                  <c:v>06-May-2021</c:v>
                </c:pt>
                <c:pt idx="592">
                  <c:v>07-May-2021</c:v>
                </c:pt>
                <c:pt idx="593">
                  <c:v>10-May-2021</c:v>
                </c:pt>
                <c:pt idx="594">
                  <c:v>11-May-2021</c:v>
                </c:pt>
                <c:pt idx="595">
                  <c:v>12-May-2021</c:v>
                </c:pt>
                <c:pt idx="596">
                  <c:v>13-May-2021</c:v>
                </c:pt>
                <c:pt idx="597">
                  <c:v>14-May-2021</c:v>
                </c:pt>
                <c:pt idx="598">
                  <c:v>17-May-2021</c:v>
                </c:pt>
                <c:pt idx="599">
                  <c:v>18-May-2021</c:v>
                </c:pt>
                <c:pt idx="600">
                  <c:v>19-May-2021</c:v>
                </c:pt>
                <c:pt idx="601">
                  <c:v>20-May-2021</c:v>
                </c:pt>
                <c:pt idx="602">
                  <c:v>21-May-2021</c:v>
                </c:pt>
                <c:pt idx="603">
                  <c:v>24-May-2021</c:v>
                </c:pt>
                <c:pt idx="604">
                  <c:v>25-May-2021</c:v>
                </c:pt>
                <c:pt idx="605">
                  <c:v>26-May-2021</c:v>
                </c:pt>
                <c:pt idx="606">
                  <c:v>27-May-2021</c:v>
                </c:pt>
                <c:pt idx="607">
                  <c:v>28-May-2021</c:v>
                </c:pt>
                <c:pt idx="608">
                  <c:v>31-May-2021</c:v>
                </c:pt>
                <c:pt idx="609">
                  <c:v>01-Jun-2021</c:v>
                </c:pt>
                <c:pt idx="610">
                  <c:v>02-Jun-2021</c:v>
                </c:pt>
                <c:pt idx="611">
                  <c:v>03-Jun-2021</c:v>
                </c:pt>
                <c:pt idx="612">
                  <c:v>04-Jun-2021</c:v>
                </c:pt>
                <c:pt idx="613">
                  <c:v>07-Jun-2021</c:v>
                </c:pt>
                <c:pt idx="614">
                  <c:v>08-Jun-2021</c:v>
                </c:pt>
                <c:pt idx="615">
                  <c:v>09-Jun-2021</c:v>
                </c:pt>
                <c:pt idx="616">
                  <c:v>10-Jun-2021</c:v>
                </c:pt>
                <c:pt idx="617">
                  <c:v>11-Jun-2021</c:v>
                </c:pt>
                <c:pt idx="618">
                  <c:v>15-Jun-2021</c:v>
                </c:pt>
                <c:pt idx="619">
                  <c:v>16-Jun-2021</c:v>
                </c:pt>
                <c:pt idx="620">
                  <c:v>17-Jun-2021</c:v>
                </c:pt>
                <c:pt idx="621">
                  <c:v>18-Jun-2021</c:v>
                </c:pt>
                <c:pt idx="622">
                  <c:v>21-Jun-2021</c:v>
                </c:pt>
                <c:pt idx="623">
                  <c:v>22-Jun-2021</c:v>
                </c:pt>
                <c:pt idx="624">
                  <c:v>23-Jun-2021</c:v>
                </c:pt>
                <c:pt idx="625">
                  <c:v>24-Jun-2021</c:v>
                </c:pt>
                <c:pt idx="626">
                  <c:v>25-Jun-2021</c:v>
                </c:pt>
                <c:pt idx="627">
                  <c:v>28-Jun-2021</c:v>
                </c:pt>
                <c:pt idx="628">
                  <c:v>29-Jun-2021</c:v>
                </c:pt>
                <c:pt idx="629">
                  <c:v>30-Jun-2021</c:v>
                </c:pt>
                <c:pt idx="630">
                  <c:v>01-Jul-2021</c:v>
                </c:pt>
                <c:pt idx="631">
                  <c:v>02-Jul-2021</c:v>
                </c:pt>
                <c:pt idx="632">
                  <c:v>05-Jul-2021</c:v>
                </c:pt>
                <c:pt idx="633">
                  <c:v>06-Jul-2021</c:v>
                </c:pt>
                <c:pt idx="634">
                  <c:v>07-Jul-2021</c:v>
                </c:pt>
                <c:pt idx="635">
                  <c:v>08-Jul-2021</c:v>
                </c:pt>
                <c:pt idx="636">
                  <c:v>09-Jul-2021</c:v>
                </c:pt>
                <c:pt idx="637">
                  <c:v>12-Jul-2021</c:v>
                </c:pt>
                <c:pt idx="638">
                  <c:v>13-Jul-2021</c:v>
                </c:pt>
                <c:pt idx="639">
                  <c:v>14-Jul-2021</c:v>
                </c:pt>
                <c:pt idx="640">
                  <c:v>15-Jul-2021</c:v>
                </c:pt>
                <c:pt idx="641">
                  <c:v>16-Jul-2021</c:v>
                </c:pt>
                <c:pt idx="642">
                  <c:v>19-Jul-2021</c:v>
                </c:pt>
                <c:pt idx="643">
                  <c:v>20-Jul-2021</c:v>
                </c:pt>
                <c:pt idx="644">
                  <c:v>21-Jul-2021</c:v>
                </c:pt>
                <c:pt idx="645">
                  <c:v>22-Jul-2021</c:v>
                </c:pt>
                <c:pt idx="646">
                  <c:v>23-Jul-2021</c:v>
                </c:pt>
                <c:pt idx="647">
                  <c:v>26-Jul-2021</c:v>
                </c:pt>
                <c:pt idx="648">
                  <c:v>27-Jul-2021</c:v>
                </c:pt>
                <c:pt idx="649">
                  <c:v>28-Jul-2021</c:v>
                </c:pt>
                <c:pt idx="650">
                  <c:v>29-Jul-2021</c:v>
                </c:pt>
                <c:pt idx="651">
                  <c:v>30-Jul-2021</c:v>
                </c:pt>
                <c:pt idx="652">
                  <c:v>03-Aug-2021</c:v>
                </c:pt>
                <c:pt idx="653">
                  <c:v>04-Aug-2021</c:v>
                </c:pt>
                <c:pt idx="654">
                  <c:v>05-Aug-2021</c:v>
                </c:pt>
                <c:pt idx="655">
                  <c:v>06-Aug-2021</c:v>
                </c:pt>
                <c:pt idx="656">
                  <c:v>09-Aug-2021</c:v>
                </c:pt>
                <c:pt idx="657">
                  <c:v>10-Aug-2021</c:v>
                </c:pt>
                <c:pt idx="658">
                  <c:v>11-Aug-2021</c:v>
                </c:pt>
                <c:pt idx="659">
                  <c:v>12-Aug-2021</c:v>
                </c:pt>
                <c:pt idx="660">
                  <c:v>13-Aug-2021</c:v>
                </c:pt>
                <c:pt idx="661">
                  <c:v>16-Aug-2021</c:v>
                </c:pt>
                <c:pt idx="662">
                  <c:v>17-Aug-2021</c:v>
                </c:pt>
                <c:pt idx="663">
                  <c:v>18-Aug-2021</c:v>
                </c:pt>
                <c:pt idx="664">
                  <c:v>19-Aug-2021</c:v>
                </c:pt>
                <c:pt idx="665">
                  <c:v>20-Aug-2021</c:v>
                </c:pt>
                <c:pt idx="666">
                  <c:v>23-Aug-2021</c:v>
                </c:pt>
                <c:pt idx="667">
                  <c:v>24-Aug-2021</c:v>
                </c:pt>
                <c:pt idx="668">
                  <c:v>25-Aug-2021</c:v>
                </c:pt>
                <c:pt idx="669">
                  <c:v>26-Aug-2021</c:v>
                </c:pt>
                <c:pt idx="670">
                  <c:v>27-Aug-2021</c:v>
                </c:pt>
                <c:pt idx="671">
                  <c:v>30-Aug-2021</c:v>
                </c:pt>
                <c:pt idx="672">
                  <c:v>31-Aug-2021</c:v>
                </c:pt>
                <c:pt idx="673">
                  <c:v>01-Sep-2021</c:v>
                </c:pt>
                <c:pt idx="674">
                  <c:v>02-Sep-2021</c:v>
                </c:pt>
                <c:pt idx="675">
                  <c:v>03-Sep-2021</c:v>
                </c:pt>
                <c:pt idx="676">
                  <c:v>06-Sep-2021</c:v>
                </c:pt>
                <c:pt idx="677">
                  <c:v>07-Sep-2021</c:v>
                </c:pt>
                <c:pt idx="678">
                  <c:v>08-Sep-2021</c:v>
                </c:pt>
                <c:pt idx="679">
                  <c:v>09-Sep-2021</c:v>
                </c:pt>
                <c:pt idx="680">
                  <c:v>10-Sep-2021</c:v>
                </c:pt>
                <c:pt idx="681">
                  <c:v>13-Sep-2021</c:v>
                </c:pt>
                <c:pt idx="682">
                  <c:v>14-Sep-2021</c:v>
                </c:pt>
                <c:pt idx="683">
                  <c:v>15-Sep-2021</c:v>
                </c:pt>
                <c:pt idx="684">
                  <c:v>16-Sep-2021</c:v>
                </c:pt>
                <c:pt idx="685">
                  <c:v>17-Sep-2021</c:v>
                </c:pt>
                <c:pt idx="686">
                  <c:v>20-Sep-2021</c:v>
                </c:pt>
                <c:pt idx="687">
                  <c:v>21-Sep-2021</c:v>
                </c:pt>
                <c:pt idx="688">
                  <c:v>22-Sep-2021</c:v>
                </c:pt>
                <c:pt idx="689">
                  <c:v>23-Sep-2021</c:v>
                </c:pt>
                <c:pt idx="690">
                  <c:v>24-Sep-2021</c:v>
                </c:pt>
                <c:pt idx="691">
                  <c:v>27-Sep-2021</c:v>
                </c:pt>
                <c:pt idx="692">
                  <c:v>28-Sep-2021</c:v>
                </c:pt>
                <c:pt idx="693">
                  <c:v>29-Sep-2021</c:v>
                </c:pt>
                <c:pt idx="694">
                  <c:v>30-Sep-2021</c:v>
                </c:pt>
                <c:pt idx="695">
                  <c:v>01-Oct-2021</c:v>
                </c:pt>
                <c:pt idx="696">
                  <c:v>05-Oct-2021</c:v>
                </c:pt>
                <c:pt idx="697">
                  <c:v>06-Oct-2021</c:v>
                </c:pt>
                <c:pt idx="698">
                  <c:v>07-Oct-2021</c:v>
                </c:pt>
                <c:pt idx="699">
                  <c:v>08-Oct-2021</c:v>
                </c:pt>
                <c:pt idx="700">
                  <c:v>11-Oct-2021</c:v>
                </c:pt>
                <c:pt idx="701">
                  <c:v>12-Oct-2021</c:v>
                </c:pt>
                <c:pt idx="702">
                  <c:v>13-Oct-2021</c:v>
                </c:pt>
                <c:pt idx="703">
                  <c:v>14-Oct-2021</c:v>
                </c:pt>
                <c:pt idx="704">
                  <c:v>15-Oct-2021</c:v>
                </c:pt>
                <c:pt idx="705">
                  <c:v>18-Oct-2021</c:v>
                </c:pt>
                <c:pt idx="706">
                  <c:v>19-Oct-2021</c:v>
                </c:pt>
                <c:pt idx="707">
                  <c:v>20-Oct-2021</c:v>
                </c:pt>
                <c:pt idx="708">
                  <c:v>21-Oct-2021</c:v>
                </c:pt>
                <c:pt idx="709">
                  <c:v>22-Oct-2021</c:v>
                </c:pt>
                <c:pt idx="710">
                  <c:v>25-Oct-2021</c:v>
                </c:pt>
                <c:pt idx="711">
                  <c:v>26-Oct-2021</c:v>
                </c:pt>
                <c:pt idx="712">
                  <c:v>27-Oct-2021</c:v>
                </c:pt>
                <c:pt idx="713">
                  <c:v>28-Oct-2021</c:v>
                </c:pt>
                <c:pt idx="714">
                  <c:v>29-Oct-2021</c:v>
                </c:pt>
                <c:pt idx="715">
                  <c:v>01-Nov-2021</c:v>
                </c:pt>
                <c:pt idx="716">
                  <c:v>02-Nov-2021</c:v>
                </c:pt>
                <c:pt idx="717">
                  <c:v>03-Nov-2021</c:v>
                </c:pt>
                <c:pt idx="718">
                  <c:v>04-Nov-2021</c:v>
                </c:pt>
                <c:pt idx="719">
                  <c:v>05-Nov-2021</c:v>
                </c:pt>
                <c:pt idx="720">
                  <c:v>08-Nov-2021</c:v>
                </c:pt>
                <c:pt idx="721">
                  <c:v>09-Nov-2021</c:v>
                </c:pt>
                <c:pt idx="722">
                  <c:v>10-Nov-2021</c:v>
                </c:pt>
                <c:pt idx="723">
                  <c:v>11-Nov-2021</c:v>
                </c:pt>
                <c:pt idx="724">
                  <c:v>12-Nov-2021</c:v>
                </c:pt>
                <c:pt idx="725">
                  <c:v>15-Nov-2021</c:v>
                </c:pt>
                <c:pt idx="726">
                  <c:v>16-Nov-2021</c:v>
                </c:pt>
                <c:pt idx="727">
                  <c:v>17-Nov-2021</c:v>
                </c:pt>
                <c:pt idx="728">
                  <c:v>18-Nov-2021</c:v>
                </c:pt>
                <c:pt idx="729">
                  <c:v>19-Nov-2021</c:v>
                </c:pt>
                <c:pt idx="730">
                  <c:v>22-Nov-2021</c:v>
                </c:pt>
                <c:pt idx="731">
                  <c:v>23-Nov-2021</c:v>
                </c:pt>
                <c:pt idx="732">
                  <c:v>24-Nov-2021</c:v>
                </c:pt>
                <c:pt idx="733">
                  <c:v>25-Nov-2021</c:v>
                </c:pt>
                <c:pt idx="734">
                  <c:v>26-Nov-2021</c:v>
                </c:pt>
                <c:pt idx="735">
                  <c:v>29-Nov-2021</c:v>
                </c:pt>
                <c:pt idx="736">
                  <c:v>30-Nov-2021</c:v>
                </c:pt>
                <c:pt idx="737">
                  <c:v>01-Dec-2021</c:v>
                </c:pt>
                <c:pt idx="738">
                  <c:v>02-Dec-2021</c:v>
                </c:pt>
                <c:pt idx="739">
                  <c:v>03-Dec-2021</c:v>
                </c:pt>
                <c:pt idx="740">
                  <c:v>06-Dec-2021</c:v>
                </c:pt>
                <c:pt idx="741">
                  <c:v>07-Dec-2021</c:v>
                </c:pt>
                <c:pt idx="742">
                  <c:v>08-Dec-2021</c:v>
                </c:pt>
                <c:pt idx="743">
                  <c:v>09-Dec-2021</c:v>
                </c:pt>
                <c:pt idx="744">
                  <c:v>10-Dec-2021</c:v>
                </c:pt>
                <c:pt idx="745">
                  <c:v>13-Dec-2021</c:v>
                </c:pt>
                <c:pt idx="746">
                  <c:v>14-Dec-2021</c:v>
                </c:pt>
                <c:pt idx="747">
                  <c:v>15-Dec-2021</c:v>
                </c:pt>
                <c:pt idx="748">
                  <c:v>16-Dec-2021</c:v>
                </c:pt>
                <c:pt idx="749">
                  <c:v>17-Dec-2021</c:v>
                </c:pt>
                <c:pt idx="750">
                  <c:v>20-Dec-2021</c:v>
                </c:pt>
                <c:pt idx="751">
                  <c:v>21-Dec-2021</c:v>
                </c:pt>
                <c:pt idx="752">
                  <c:v>22-Dec-2021</c:v>
                </c:pt>
                <c:pt idx="753">
                  <c:v>23-Dec-2021</c:v>
                </c:pt>
                <c:pt idx="754">
                  <c:v>24-Dec-2021</c:v>
                </c:pt>
                <c:pt idx="755">
                  <c:v>29-Dec-2021</c:v>
                </c:pt>
                <c:pt idx="756">
                  <c:v>30-Dec-2021</c:v>
                </c:pt>
                <c:pt idx="757">
                  <c:v>31-Dec-2021</c:v>
                </c:pt>
                <c:pt idx="758">
                  <c:v>04-Jan-2022</c:v>
                </c:pt>
                <c:pt idx="759">
                  <c:v>05-Jan-2022</c:v>
                </c:pt>
                <c:pt idx="760">
                  <c:v>06-Jan-2022</c:v>
                </c:pt>
                <c:pt idx="761">
                  <c:v>07-Jan-2022</c:v>
                </c:pt>
                <c:pt idx="762">
                  <c:v>10-Jan-2022</c:v>
                </c:pt>
                <c:pt idx="763">
                  <c:v>11-Jan-2022</c:v>
                </c:pt>
                <c:pt idx="764">
                  <c:v>12-Jan-2022</c:v>
                </c:pt>
                <c:pt idx="765">
                  <c:v>13-Jan-2022</c:v>
                </c:pt>
                <c:pt idx="766">
                  <c:v>14-Jan-2022</c:v>
                </c:pt>
                <c:pt idx="767">
                  <c:v>17-Jan-2022</c:v>
                </c:pt>
                <c:pt idx="768">
                  <c:v>18-Jan-2022</c:v>
                </c:pt>
                <c:pt idx="769">
                  <c:v>19-Jan-2022</c:v>
                </c:pt>
                <c:pt idx="770">
                  <c:v>20-Jan-2022</c:v>
                </c:pt>
                <c:pt idx="771">
                  <c:v>21-Jan-2022</c:v>
                </c:pt>
                <c:pt idx="772">
                  <c:v>24-Jan-2022</c:v>
                </c:pt>
                <c:pt idx="773">
                  <c:v>25-Jan-2022</c:v>
                </c:pt>
                <c:pt idx="774">
                  <c:v>27-Jan-2022</c:v>
                </c:pt>
                <c:pt idx="775">
                  <c:v>28-Jan-2022</c:v>
                </c:pt>
                <c:pt idx="776">
                  <c:v>31-Jan-2022</c:v>
                </c:pt>
                <c:pt idx="777">
                  <c:v>01-Feb-2022</c:v>
                </c:pt>
                <c:pt idx="778">
                  <c:v>02-Feb-2022</c:v>
                </c:pt>
                <c:pt idx="779">
                  <c:v>03-Feb-2022</c:v>
                </c:pt>
                <c:pt idx="780">
                  <c:v>04-Feb-2022</c:v>
                </c:pt>
                <c:pt idx="781">
                  <c:v>07-Feb-2022</c:v>
                </c:pt>
                <c:pt idx="782">
                  <c:v>08-Feb-2022</c:v>
                </c:pt>
                <c:pt idx="783">
                  <c:v>09-Feb-2022</c:v>
                </c:pt>
                <c:pt idx="784">
                  <c:v>10-Feb-2022</c:v>
                </c:pt>
                <c:pt idx="785">
                  <c:v>11-Feb-2022</c:v>
                </c:pt>
                <c:pt idx="786">
                  <c:v>14-Feb-2022</c:v>
                </c:pt>
                <c:pt idx="787">
                  <c:v>15-Feb-2022</c:v>
                </c:pt>
                <c:pt idx="788">
                  <c:v>16-Feb-2022</c:v>
                </c:pt>
                <c:pt idx="789">
                  <c:v>17-Feb-2022</c:v>
                </c:pt>
                <c:pt idx="790">
                  <c:v>18-Feb-2022</c:v>
                </c:pt>
                <c:pt idx="791">
                  <c:v>21-Feb-2022</c:v>
                </c:pt>
                <c:pt idx="792">
                  <c:v>22-Feb-2022</c:v>
                </c:pt>
                <c:pt idx="793">
                  <c:v>23-Feb-2022</c:v>
                </c:pt>
                <c:pt idx="794">
                  <c:v>24-Feb-2022</c:v>
                </c:pt>
                <c:pt idx="795">
                  <c:v>25-Feb-2022</c:v>
                </c:pt>
                <c:pt idx="796">
                  <c:v>28-Feb-2022</c:v>
                </c:pt>
                <c:pt idx="797">
                  <c:v>01-Mar-2022</c:v>
                </c:pt>
                <c:pt idx="798">
                  <c:v>02-Mar-2022</c:v>
                </c:pt>
                <c:pt idx="799">
                  <c:v>03-Mar-2022</c:v>
                </c:pt>
                <c:pt idx="800">
                  <c:v>04-Mar-2022</c:v>
                </c:pt>
                <c:pt idx="801">
                  <c:v>07-Mar-2022</c:v>
                </c:pt>
                <c:pt idx="802">
                  <c:v>08-Mar-2022</c:v>
                </c:pt>
                <c:pt idx="803">
                  <c:v>09-Mar-2022</c:v>
                </c:pt>
                <c:pt idx="804">
                  <c:v>10-Mar-2022</c:v>
                </c:pt>
                <c:pt idx="805">
                  <c:v>11-Mar-2022</c:v>
                </c:pt>
                <c:pt idx="806">
                  <c:v>14-Mar-2022</c:v>
                </c:pt>
                <c:pt idx="807">
                  <c:v>15-Mar-2022</c:v>
                </c:pt>
                <c:pt idx="808">
                  <c:v>16-Mar-2022</c:v>
                </c:pt>
                <c:pt idx="809">
                  <c:v>17-Mar-2022</c:v>
                </c:pt>
                <c:pt idx="810">
                  <c:v>18-Mar-2022</c:v>
                </c:pt>
                <c:pt idx="811">
                  <c:v>21-Mar-2022</c:v>
                </c:pt>
                <c:pt idx="812">
                  <c:v>22-Mar-2022</c:v>
                </c:pt>
                <c:pt idx="813">
                  <c:v>23-Mar-2022</c:v>
                </c:pt>
                <c:pt idx="814">
                  <c:v>24-Mar-2022</c:v>
                </c:pt>
                <c:pt idx="815">
                  <c:v>25-Mar-2022</c:v>
                </c:pt>
                <c:pt idx="816">
                  <c:v>28-Mar-2022</c:v>
                </c:pt>
                <c:pt idx="817">
                  <c:v>29-Mar-2022</c:v>
                </c:pt>
                <c:pt idx="818">
                  <c:v>30-Mar-2022</c:v>
                </c:pt>
                <c:pt idx="819">
                  <c:v>31-Mar-2022</c:v>
                </c:pt>
                <c:pt idx="820">
                  <c:v>01-Apr-2022</c:v>
                </c:pt>
                <c:pt idx="821">
                  <c:v>04-Apr-2022</c:v>
                </c:pt>
                <c:pt idx="822">
                  <c:v>05-Apr-2022</c:v>
                </c:pt>
                <c:pt idx="823">
                  <c:v>06-Apr-2022</c:v>
                </c:pt>
                <c:pt idx="824">
                  <c:v>07-Apr-2022</c:v>
                </c:pt>
                <c:pt idx="825">
                  <c:v>08-Apr-2022</c:v>
                </c:pt>
                <c:pt idx="826">
                  <c:v>11-Apr-2022</c:v>
                </c:pt>
                <c:pt idx="827">
                  <c:v>12-Apr-2022</c:v>
                </c:pt>
                <c:pt idx="828">
                  <c:v>13-Apr-2022</c:v>
                </c:pt>
                <c:pt idx="829">
                  <c:v>14-Apr-2022</c:v>
                </c:pt>
                <c:pt idx="830">
                  <c:v>19-Apr-2022</c:v>
                </c:pt>
                <c:pt idx="831">
                  <c:v>20-Apr-2022</c:v>
                </c:pt>
                <c:pt idx="832">
                  <c:v>21-Apr-2022</c:v>
                </c:pt>
                <c:pt idx="833">
                  <c:v>22-Apr-2022</c:v>
                </c:pt>
                <c:pt idx="834">
                  <c:v>26-Apr-2022</c:v>
                </c:pt>
                <c:pt idx="835">
                  <c:v>27-Apr-2022</c:v>
                </c:pt>
                <c:pt idx="836">
                  <c:v>28-Apr-2022</c:v>
                </c:pt>
                <c:pt idx="837">
                  <c:v>29-Apr-2022</c:v>
                </c:pt>
                <c:pt idx="838">
                  <c:v>02-May-2022</c:v>
                </c:pt>
                <c:pt idx="839">
                  <c:v>03-May-2022</c:v>
                </c:pt>
                <c:pt idx="840">
                  <c:v>04-May-2022</c:v>
                </c:pt>
                <c:pt idx="841">
                  <c:v>05-May-2022</c:v>
                </c:pt>
                <c:pt idx="842">
                  <c:v>06-May-2022</c:v>
                </c:pt>
                <c:pt idx="843">
                  <c:v>09-May-2022</c:v>
                </c:pt>
                <c:pt idx="844">
                  <c:v>10-May-2022</c:v>
                </c:pt>
                <c:pt idx="845">
                  <c:v>11-May-2022</c:v>
                </c:pt>
                <c:pt idx="846">
                  <c:v>12-May-2022</c:v>
                </c:pt>
                <c:pt idx="847">
                  <c:v>13-May-2022</c:v>
                </c:pt>
                <c:pt idx="848">
                  <c:v>16-May-2022</c:v>
                </c:pt>
                <c:pt idx="849">
                  <c:v>17-May-2022</c:v>
                </c:pt>
                <c:pt idx="850">
                  <c:v>18-May-2022</c:v>
                </c:pt>
                <c:pt idx="851">
                  <c:v>19-May-2022</c:v>
                </c:pt>
                <c:pt idx="852">
                  <c:v>20-May-2022</c:v>
                </c:pt>
                <c:pt idx="853">
                  <c:v>23-May-2022</c:v>
                </c:pt>
                <c:pt idx="854">
                  <c:v>24-May-2022</c:v>
                </c:pt>
                <c:pt idx="855">
                  <c:v>25-May-2022</c:v>
                </c:pt>
                <c:pt idx="856">
                  <c:v>26-May-2022</c:v>
                </c:pt>
                <c:pt idx="857">
                  <c:v>27-May-2022</c:v>
                </c:pt>
                <c:pt idx="858">
                  <c:v>30-May-2022</c:v>
                </c:pt>
                <c:pt idx="859">
                  <c:v>31-May-2022</c:v>
                </c:pt>
                <c:pt idx="860">
                  <c:v>01-Jun-2022</c:v>
                </c:pt>
                <c:pt idx="861">
                  <c:v>02-Jun-2022</c:v>
                </c:pt>
                <c:pt idx="862">
                  <c:v>03-Jun-2022</c:v>
                </c:pt>
                <c:pt idx="863">
                  <c:v>06-Jun-2022</c:v>
                </c:pt>
                <c:pt idx="864">
                  <c:v>07-Jun-2022</c:v>
                </c:pt>
                <c:pt idx="865">
                  <c:v>08-Jun-2022</c:v>
                </c:pt>
                <c:pt idx="866">
                  <c:v>09-Jun-2022</c:v>
                </c:pt>
                <c:pt idx="867">
                  <c:v>10-Jun-2022</c:v>
                </c:pt>
                <c:pt idx="868">
                  <c:v>14-Jun-2022</c:v>
                </c:pt>
                <c:pt idx="869">
                  <c:v>15-Jun-2022</c:v>
                </c:pt>
                <c:pt idx="870">
                  <c:v>16-Jun-2022</c:v>
                </c:pt>
                <c:pt idx="871">
                  <c:v>17-Jun-2022</c:v>
                </c:pt>
                <c:pt idx="872">
                  <c:v>20-Jun-2022</c:v>
                </c:pt>
                <c:pt idx="873">
                  <c:v>21-Jun-2022</c:v>
                </c:pt>
                <c:pt idx="874">
                  <c:v>22-Jun-2022</c:v>
                </c:pt>
                <c:pt idx="875">
                  <c:v>23-Jun-2022</c:v>
                </c:pt>
                <c:pt idx="876">
                  <c:v>24-Jun-2022</c:v>
                </c:pt>
                <c:pt idx="877">
                  <c:v>27-Jun-2022</c:v>
                </c:pt>
                <c:pt idx="878">
                  <c:v>28-Jun-2022</c:v>
                </c:pt>
                <c:pt idx="879">
                  <c:v>29-Jun-2022</c:v>
                </c:pt>
                <c:pt idx="880">
                  <c:v>30-Jun-2022</c:v>
                </c:pt>
                <c:pt idx="881">
                  <c:v>01-Jul-2022</c:v>
                </c:pt>
                <c:pt idx="882">
                  <c:v>04-Jul-2022</c:v>
                </c:pt>
                <c:pt idx="883">
                  <c:v>05-Jul-2022</c:v>
                </c:pt>
                <c:pt idx="884">
                  <c:v>06-Jul-2022</c:v>
                </c:pt>
                <c:pt idx="885">
                  <c:v>07-Jul-2022</c:v>
                </c:pt>
                <c:pt idx="886">
                  <c:v>08-Jul-2022</c:v>
                </c:pt>
                <c:pt idx="887">
                  <c:v>11-Jul-2022</c:v>
                </c:pt>
                <c:pt idx="888">
                  <c:v>12-Jul-2022</c:v>
                </c:pt>
                <c:pt idx="889">
                  <c:v>13-Jul-2022</c:v>
                </c:pt>
                <c:pt idx="890">
                  <c:v>14-Jul-2022</c:v>
                </c:pt>
                <c:pt idx="891">
                  <c:v>15-Jul-2022</c:v>
                </c:pt>
                <c:pt idx="892">
                  <c:v>18-Jul-2022</c:v>
                </c:pt>
                <c:pt idx="893">
                  <c:v>19-Jul-2022</c:v>
                </c:pt>
                <c:pt idx="894">
                  <c:v>20-Jul-2022</c:v>
                </c:pt>
                <c:pt idx="895">
                  <c:v>21-Jul-2022</c:v>
                </c:pt>
                <c:pt idx="896">
                  <c:v>22-Jul-2022</c:v>
                </c:pt>
                <c:pt idx="897">
                  <c:v>25-Jul-2022</c:v>
                </c:pt>
                <c:pt idx="898">
                  <c:v>26-Jul-2022</c:v>
                </c:pt>
                <c:pt idx="899">
                  <c:v>27-Jul-2022</c:v>
                </c:pt>
                <c:pt idx="900">
                  <c:v>28-Jul-2022</c:v>
                </c:pt>
                <c:pt idx="901">
                  <c:v>29-Jul-2022</c:v>
                </c:pt>
                <c:pt idx="902">
                  <c:v>01-Aug-2022</c:v>
                </c:pt>
                <c:pt idx="903">
                  <c:v>02-Aug-2022</c:v>
                </c:pt>
                <c:pt idx="904">
                  <c:v>03-Aug-2022</c:v>
                </c:pt>
                <c:pt idx="905">
                  <c:v>04-Aug-2022</c:v>
                </c:pt>
                <c:pt idx="906">
                  <c:v>05-Aug-2022</c:v>
                </c:pt>
                <c:pt idx="907">
                  <c:v>08-Aug-2022</c:v>
                </c:pt>
                <c:pt idx="908">
                  <c:v>09-Aug-2022</c:v>
                </c:pt>
                <c:pt idx="909">
                  <c:v>10-Aug-2022</c:v>
                </c:pt>
                <c:pt idx="910">
                  <c:v>11-Aug-2022</c:v>
                </c:pt>
                <c:pt idx="911">
                  <c:v>12-Aug-2022</c:v>
                </c:pt>
                <c:pt idx="912">
                  <c:v>15-Aug-2022</c:v>
                </c:pt>
                <c:pt idx="913">
                  <c:v>16-Aug-2022</c:v>
                </c:pt>
                <c:pt idx="914">
                  <c:v>17-Aug-2022</c:v>
                </c:pt>
                <c:pt idx="915">
                  <c:v>18-Aug-2022</c:v>
                </c:pt>
                <c:pt idx="916">
                  <c:v>19-Aug-2022</c:v>
                </c:pt>
                <c:pt idx="917">
                  <c:v>22-Aug-2022</c:v>
                </c:pt>
                <c:pt idx="918">
                  <c:v>23-Aug-2022</c:v>
                </c:pt>
                <c:pt idx="919">
                  <c:v>24-Aug-2022</c:v>
                </c:pt>
                <c:pt idx="920">
                  <c:v>25-Aug-2022</c:v>
                </c:pt>
                <c:pt idx="921">
                  <c:v>26-Aug-2022</c:v>
                </c:pt>
                <c:pt idx="922">
                  <c:v>29-Aug-2022</c:v>
                </c:pt>
                <c:pt idx="923">
                  <c:v>30-Aug-2022</c:v>
                </c:pt>
                <c:pt idx="924">
                  <c:v>31-Aug-2022</c:v>
                </c:pt>
                <c:pt idx="925">
                  <c:v>01-Sep-2022</c:v>
                </c:pt>
                <c:pt idx="926">
                  <c:v>02-Sep-2022</c:v>
                </c:pt>
                <c:pt idx="927">
                  <c:v>05-Sep-2022</c:v>
                </c:pt>
                <c:pt idx="928">
                  <c:v>06-Sep-2022</c:v>
                </c:pt>
                <c:pt idx="929">
                  <c:v>07-Sep-2022</c:v>
                </c:pt>
                <c:pt idx="930">
                  <c:v>08-Sep-2022</c:v>
                </c:pt>
                <c:pt idx="931">
                  <c:v>09-Sep-2022</c:v>
                </c:pt>
                <c:pt idx="932">
                  <c:v>12-Sep-2022</c:v>
                </c:pt>
                <c:pt idx="933">
                  <c:v>13-Sep-2022</c:v>
                </c:pt>
                <c:pt idx="934">
                  <c:v>14-Sep-2022</c:v>
                </c:pt>
                <c:pt idx="935">
                  <c:v>15-Sep-2022</c:v>
                </c:pt>
                <c:pt idx="936">
                  <c:v>16-Sep-2022</c:v>
                </c:pt>
                <c:pt idx="937">
                  <c:v>19-Sep-2022</c:v>
                </c:pt>
                <c:pt idx="938">
                  <c:v>20-Sep-2022</c:v>
                </c:pt>
                <c:pt idx="939">
                  <c:v>21-Sep-2022</c:v>
                </c:pt>
                <c:pt idx="940">
                  <c:v>23-Sep-2022</c:v>
                </c:pt>
                <c:pt idx="941">
                  <c:v>26-Sep-2022</c:v>
                </c:pt>
                <c:pt idx="942">
                  <c:v>27-Sep-2022</c:v>
                </c:pt>
                <c:pt idx="943">
                  <c:v>28-Sep-2022</c:v>
                </c:pt>
                <c:pt idx="944">
                  <c:v>29-Sep-2022</c:v>
                </c:pt>
                <c:pt idx="945">
                  <c:v>30-Sep-2022</c:v>
                </c:pt>
                <c:pt idx="946">
                  <c:v>04-Oct-2022</c:v>
                </c:pt>
                <c:pt idx="947">
                  <c:v>05-Oct-2022</c:v>
                </c:pt>
                <c:pt idx="948">
                  <c:v>06-Oct-2022</c:v>
                </c:pt>
                <c:pt idx="949">
                  <c:v>07-Oct-2022</c:v>
                </c:pt>
                <c:pt idx="950">
                  <c:v>10-Oct-2022</c:v>
                </c:pt>
                <c:pt idx="951">
                  <c:v>11-Oct-2022</c:v>
                </c:pt>
                <c:pt idx="952">
                  <c:v>12-Oct-2022</c:v>
                </c:pt>
                <c:pt idx="953">
                  <c:v>13-Oct-2022</c:v>
                </c:pt>
                <c:pt idx="954">
                  <c:v>14-Oct-2022</c:v>
                </c:pt>
                <c:pt idx="955">
                  <c:v>17-Oct-2022</c:v>
                </c:pt>
                <c:pt idx="956">
                  <c:v>18-Oct-2022</c:v>
                </c:pt>
                <c:pt idx="957">
                  <c:v>19-Oct-2022</c:v>
                </c:pt>
                <c:pt idx="958">
                  <c:v>20-Oct-2022</c:v>
                </c:pt>
                <c:pt idx="959">
                  <c:v>21-Oct-2022</c:v>
                </c:pt>
                <c:pt idx="960">
                  <c:v>24-Oct-2022</c:v>
                </c:pt>
                <c:pt idx="961">
                  <c:v>25-Oct-2022</c:v>
                </c:pt>
                <c:pt idx="962">
                  <c:v>26-Oct-2022</c:v>
                </c:pt>
                <c:pt idx="963">
                  <c:v>27-Oct-2022</c:v>
                </c:pt>
                <c:pt idx="964">
                  <c:v>28-Oct-2022</c:v>
                </c:pt>
                <c:pt idx="965">
                  <c:v>31-Oct-2022</c:v>
                </c:pt>
                <c:pt idx="966">
                  <c:v>01-Nov-2022</c:v>
                </c:pt>
                <c:pt idx="967">
                  <c:v>02-Nov-2022</c:v>
                </c:pt>
                <c:pt idx="968">
                  <c:v>03-Nov-2022</c:v>
                </c:pt>
                <c:pt idx="969">
                  <c:v>04-Nov-2022</c:v>
                </c:pt>
                <c:pt idx="970">
                  <c:v>07-Nov-2022</c:v>
                </c:pt>
                <c:pt idx="971">
                  <c:v>08-Nov-2022</c:v>
                </c:pt>
                <c:pt idx="972">
                  <c:v>09-Nov-2022</c:v>
                </c:pt>
                <c:pt idx="973">
                  <c:v>10-Nov-2022</c:v>
                </c:pt>
                <c:pt idx="974">
                  <c:v>11-Nov-2022</c:v>
                </c:pt>
                <c:pt idx="975">
                  <c:v>14-Nov-2022</c:v>
                </c:pt>
                <c:pt idx="976">
                  <c:v>15-Nov-2022</c:v>
                </c:pt>
                <c:pt idx="977">
                  <c:v>16-Nov-2022</c:v>
                </c:pt>
                <c:pt idx="978">
                  <c:v>17-Nov-2022</c:v>
                </c:pt>
                <c:pt idx="979">
                  <c:v>18-Nov-2022</c:v>
                </c:pt>
                <c:pt idx="980">
                  <c:v>21-Nov-2022</c:v>
                </c:pt>
                <c:pt idx="981">
                  <c:v>22-Nov-2022</c:v>
                </c:pt>
                <c:pt idx="982">
                  <c:v>23-Nov-2022</c:v>
                </c:pt>
                <c:pt idx="983">
                  <c:v>24-Nov-2022</c:v>
                </c:pt>
                <c:pt idx="984">
                  <c:v>25-Nov-2022</c:v>
                </c:pt>
                <c:pt idx="985">
                  <c:v>28-Nov-2022</c:v>
                </c:pt>
                <c:pt idx="986">
                  <c:v>29-Nov-2022</c:v>
                </c:pt>
                <c:pt idx="987">
                  <c:v>30-Nov-2022</c:v>
                </c:pt>
                <c:pt idx="988">
                  <c:v>01-Dec-2022</c:v>
                </c:pt>
                <c:pt idx="989">
                  <c:v>02-Dec-2022</c:v>
                </c:pt>
                <c:pt idx="990">
                  <c:v>05-Dec-2022</c:v>
                </c:pt>
                <c:pt idx="991">
                  <c:v>06-Dec-2022</c:v>
                </c:pt>
                <c:pt idx="992">
                  <c:v>07-Dec-2022</c:v>
                </c:pt>
                <c:pt idx="993">
                  <c:v>08-Dec-2022</c:v>
                </c:pt>
                <c:pt idx="994">
                  <c:v>09-Dec-2022</c:v>
                </c:pt>
                <c:pt idx="995">
                  <c:v>12-Dec-2022</c:v>
                </c:pt>
                <c:pt idx="996">
                  <c:v>13-Dec-2022</c:v>
                </c:pt>
                <c:pt idx="997">
                  <c:v>14-Dec-2022</c:v>
                </c:pt>
                <c:pt idx="998">
                  <c:v>15-Dec-2022</c:v>
                </c:pt>
                <c:pt idx="999">
                  <c:v>16-Dec-2022</c:v>
                </c:pt>
                <c:pt idx="1000">
                  <c:v>19-Dec-2022</c:v>
                </c:pt>
                <c:pt idx="1001">
                  <c:v>20-Dec-2022</c:v>
                </c:pt>
                <c:pt idx="1002">
                  <c:v>21-Dec-2022</c:v>
                </c:pt>
                <c:pt idx="1003">
                  <c:v>22-Dec-2022</c:v>
                </c:pt>
                <c:pt idx="1004">
                  <c:v>23-Dec-2022</c:v>
                </c:pt>
                <c:pt idx="1005">
                  <c:v>28-Dec-2022</c:v>
                </c:pt>
                <c:pt idx="1006">
                  <c:v>29-Dec-2022</c:v>
                </c:pt>
                <c:pt idx="1007">
                  <c:v>30-Dec-2022</c:v>
                </c:pt>
                <c:pt idx="1008">
                  <c:v>03-Jan-2023</c:v>
                </c:pt>
                <c:pt idx="1009">
                  <c:v>04-Jan-2023</c:v>
                </c:pt>
                <c:pt idx="1010">
                  <c:v>05-Jan-2023</c:v>
                </c:pt>
                <c:pt idx="1011">
                  <c:v>06-Jan-2023</c:v>
                </c:pt>
                <c:pt idx="1012">
                  <c:v>09-Jan-2023</c:v>
                </c:pt>
                <c:pt idx="1013">
                  <c:v>10-Jan-2023</c:v>
                </c:pt>
                <c:pt idx="1014">
                  <c:v>11-Jan-2023</c:v>
                </c:pt>
                <c:pt idx="1015">
                  <c:v>12-Jan-2023</c:v>
                </c:pt>
                <c:pt idx="1016">
                  <c:v>13-Jan-2023</c:v>
                </c:pt>
                <c:pt idx="1017">
                  <c:v>16-Jan-2023</c:v>
                </c:pt>
                <c:pt idx="1018">
                  <c:v>17-Jan-2023</c:v>
                </c:pt>
                <c:pt idx="1019">
                  <c:v>18-Jan-2023</c:v>
                </c:pt>
                <c:pt idx="1020">
                  <c:v>19-Jan-2023</c:v>
                </c:pt>
                <c:pt idx="1021">
                  <c:v>20-Jan-2023</c:v>
                </c:pt>
                <c:pt idx="1022">
                  <c:v>23-Jan-2023</c:v>
                </c:pt>
                <c:pt idx="1023">
                  <c:v>24-Jan-2023</c:v>
                </c:pt>
                <c:pt idx="1024">
                  <c:v>25-Jan-2023</c:v>
                </c:pt>
                <c:pt idx="1025">
                  <c:v>27-Jan-2023</c:v>
                </c:pt>
                <c:pt idx="1026">
                  <c:v>30-Jan-2023</c:v>
                </c:pt>
                <c:pt idx="1027">
                  <c:v>31-Jan-2023</c:v>
                </c:pt>
                <c:pt idx="1028">
                  <c:v>01-Feb-2023</c:v>
                </c:pt>
                <c:pt idx="1029">
                  <c:v>02-Feb-2023</c:v>
                </c:pt>
                <c:pt idx="1030">
                  <c:v>03-Feb-2023</c:v>
                </c:pt>
                <c:pt idx="1031">
                  <c:v>06-Feb-2023</c:v>
                </c:pt>
                <c:pt idx="1032">
                  <c:v>07-Feb-2023</c:v>
                </c:pt>
                <c:pt idx="1033">
                  <c:v>08-Feb-2023</c:v>
                </c:pt>
                <c:pt idx="1034">
                  <c:v>09-Feb-2023</c:v>
                </c:pt>
                <c:pt idx="1035">
                  <c:v>10-Feb-2023</c:v>
                </c:pt>
                <c:pt idx="1036">
                  <c:v>13-Feb-2023</c:v>
                </c:pt>
                <c:pt idx="1037">
                  <c:v>14-Feb-2023</c:v>
                </c:pt>
                <c:pt idx="1038">
                  <c:v>15-Feb-2023</c:v>
                </c:pt>
                <c:pt idx="1039">
                  <c:v>16-Feb-2023</c:v>
                </c:pt>
                <c:pt idx="1040">
                  <c:v>17-Feb-2023</c:v>
                </c:pt>
                <c:pt idx="1041">
                  <c:v>20-Feb-2023</c:v>
                </c:pt>
                <c:pt idx="1042">
                  <c:v>21-Feb-2023</c:v>
                </c:pt>
                <c:pt idx="1043">
                  <c:v>22-Feb-2023</c:v>
                </c:pt>
                <c:pt idx="1044">
                  <c:v>23-Feb-2023</c:v>
                </c:pt>
                <c:pt idx="1045">
                  <c:v>24-Feb-2023</c:v>
                </c:pt>
                <c:pt idx="1046">
                  <c:v>27-Feb-2023</c:v>
                </c:pt>
                <c:pt idx="1047">
                  <c:v>28-Feb-2023</c:v>
                </c:pt>
                <c:pt idx="1048">
                  <c:v>01-Mar-2023</c:v>
                </c:pt>
                <c:pt idx="1049">
                  <c:v>02-Mar-2023</c:v>
                </c:pt>
                <c:pt idx="1050">
                  <c:v>03-Mar-2023</c:v>
                </c:pt>
                <c:pt idx="1051">
                  <c:v>06-Mar-2023</c:v>
                </c:pt>
                <c:pt idx="1052">
                  <c:v>07-Mar-2023</c:v>
                </c:pt>
                <c:pt idx="1053">
                  <c:v>08-Mar-2023</c:v>
                </c:pt>
                <c:pt idx="1054">
                  <c:v>09-Mar-2023</c:v>
                </c:pt>
                <c:pt idx="1055">
                  <c:v>10-Mar-2023</c:v>
                </c:pt>
                <c:pt idx="1056">
                  <c:v>13-Mar-2023</c:v>
                </c:pt>
                <c:pt idx="1057">
                  <c:v>14-Mar-2023</c:v>
                </c:pt>
                <c:pt idx="1058">
                  <c:v>15-Mar-2023</c:v>
                </c:pt>
                <c:pt idx="1059">
                  <c:v>16-Mar-2023</c:v>
                </c:pt>
                <c:pt idx="1060">
                  <c:v>17-Mar-2023</c:v>
                </c:pt>
                <c:pt idx="1061">
                  <c:v>20-Mar-2023</c:v>
                </c:pt>
                <c:pt idx="1062">
                  <c:v>21-Mar-2023</c:v>
                </c:pt>
                <c:pt idx="1063">
                  <c:v>22-Mar-2023</c:v>
                </c:pt>
                <c:pt idx="1064">
                  <c:v>23-Mar-2023</c:v>
                </c:pt>
                <c:pt idx="1065">
                  <c:v>24-Mar-2023</c:v>
                </c:pt>
                <c:pt idx="1066">
                  <c:v>27-Mar-2023</c:v>
                </c:pt>
                <c:pt idx="1067">
                  <c:v>28-Mar-2023</c:v>
                </c:pt>
                <c:pt idx="1068">
                  <c:v>29-Mar-2023</c:v>
                </c:pt>
                <c:pt idx="1069">
                  <c:v>30-Mar-2023</c:v>
                </c:pt>
                <c:pt idx="1070">
                  <c:v>31-Mar-2023</c:v>
                </c:pt>
                <c:pt idx="1071">
                  <c:v>03-Apr-2023</c:v>
                </c:pt>
                <c:pt idx="1072">
                  <c:v>04-Apr-2023</c:v>
                </c:pt>
                <c:pt idx="1073">
                  <c:v>05-Apr-2023</c:v>
                </c:pt>
                <c:pt idx="1074">
                  <c:v>06-Apr-2023</c:v>
                </c:pt>
                <c:pt idx="1075">
                  <c:v>11-Apr-2023</c:v>
                </c:pt>
                <c:pt idx="1076">
                  <c:v>12-Apr-2023</c:v>
                </c:pt>
                <c:pt idx="1077">
                  <c:v>13-Apr-2023</c:v>
                </c:pt>
                <c:pt idx="1078">
                  <c:v>14-Apr-2023</c:v>
                </c:pt>
                <c:pt idx="1079">
                  <c:v>17-Apr-2023</c:v>
                </c:pt>
                <c:pt idx="1080">
                  <c:v>18-Apr-2023</c:v>
                </c:pt>
                <c:pt idx="1081">
                  <c:v>19-Apr-2023</c:v>
                </c:pt>
                <c:pt idx="1082">
                  <c:v>20-Apr-2023</c:v>
                </c:pt>
                <c:pt idx="1083">
                  <c:v>21-Apr-2023</c:v>
                </c:pt>
                <c:pt idx="1084">
                  <c:v>24-Apr-2023</c:v>
                </c:pt>
                <c:pt idx="1085">
                  <c:v>26-Apr-2023</c:v>
                </c:pt>
                <c:pt idx="1086">
                  <c:v>27-Apr-2023</c:v>
                </c:pt>
                <c:pt idx="1087">
                  <c:v>28-Apr-2023</c:v>
                </c:pt>
                <c:pt idx="1088">
                  <c:v>01-May-2023</c:v>
                </c:pt>
                <c:pt idx="1089">
                  <c:v>02-May-2023</c:v>
                </c:pt>
                <c:pt idx="1090">
                  <c:v>03-May-2023</c:v>
                </c:pt>
                <c:pt idx="1091">
                  <c:v>04-May-2023</c:v>
                </c:pt>
                <c:pt idx="1092">
                  <c:v>05-May-2023</c:v>
                </c:pt>
                <c:pt idx="1093">
                  <c:v>08-May-2023</c:v>
                </c:pt>
                <c:pt idx="1094">
                  <c:v>09-May-2023</c:v>
                </c:pt>
                <c:pt idx="1095">
                  <c:v>10-May-2023</c:v>
                </c:pt>
                <c:pt idx="1096">
                  <c:v>11-May-2023</c:v>
                </c:pt>
                <c:pt idx="1097">
                  <c:v>12-May-2023</c:v>
                </c:pt>
                <c:pt idx="1098">
                  <c:v>15-May-2023</c:v>
                </c:pt>
                <c:pt idx="1099">
                  <c:v>16-May-2023</c:v>
                </c:pt>
                <c:pt idx="1100">
                  <c:v>17-May-2023</c:v>
                </c:pt>
                <c:pt idx="1101">
                  <c:v>18-May-2023</c:v>
                </c:pt>
                <c:pt idx="1102">
                  <c:v>19-May-2023</c:v>
                </c:pt>
                <c:pt idx="1103">
                  <c:v>22-May-2023</c:v>
                </c:pt>
                <c:pt idx="1104">
                  <c:v>23-May-2023</c:v>
                </c:pt>
                <c:pt idx="1105">
                  <c:v>24-May-2023</c:v>
                </c:pt>
                <c:pt idx="1106">
                  <c:v>25-May-2023</c:v>
                </c:pt>
                <c:pt idx="1107">
                  <c:v>26-May-2023</c:v>
                </c:pt>
                <c:pt idx="1108">
                  <c:v>29-May-2023</c:v>
                </c:pt>
                <c:pt idx="1109">
                  <c:v>30-May-2023</c:v>
                </c:pt>
                <c:pt idx="1110">
                  <c:v>31-May-2023</c:v>
                </c:pt>
                <c:pt idx="1111">
                  <c:v>01-Jun-2023</c:v>
                </c:pt>
                <c:pt idx="1112">
                  <c:v>02-Jun-2023</c:v>
                </c:pt>
                <c:pt idx="1113">
                  <c:v>05-Jun-2023</c:v>
                </c:pt>
                <c:pt idx="1114">
                  <c:v>06-Jun-2023</c:v>
                </c:pt>
                <c:pt idx="1115">
                  <c:v>07-Jun-2023</c:v>
                </c:pt>
                <c:pt idx="1116">
                  <c:v>08-Jun-2023</c:v>
                </c:pt>
                <c:pt idx="1117">
                  <c:v>09-Jun-2023</c:v>
                </c:pt>
                <c:pt idx="1118">
                  <c:v>13-Jun-2023</c:v>
                </c:pt>
                <c:pt idx="1119">
                  <c:v>14-Jun-2023</c:v>
                </c:pt>
                <c:pt idx="1120">
                  <c:v>15-Jun-2023</c:v>
                </c:pt>
                <c:pt idx="1121">
                  <c:v>16-Jun-2023</c:v>
                </c:pt>
                <c:pt idx="1122">
                  <c:v>19-Jun-2023</c:v>
                </c:pt>
                <c:pt idx="1123">
                  <c:v>20-Jun-2023</c:v>
                </c:pt>
                <c:pt idx="1124">
                  <c:v>21-Jun-2023</c:v>
                </c:pt>
                <c:pt idx="1125">
                  <c:v>22-Jun-2023</c:v>
                </c:pt>
                <c:pt idx="1126">
                  <c:v>23-Jun-2023</c:v>
                </c:pt>
                <c:pt idx="1127">
                  <c:v>26-Jun-2023</c:v>
                </c:pt>
                <c:pt idx="1128">
                  <c:v>27-Jun-2023</c:v>
                </c:pt>
                <c:pt idx="1129">
                  <c:v>28-Jun-2023</c:v>
                </c:pt>
                <c:pt idx="1130">
                  <c:v>29-Jun-2023</c:v>
                </c:pt>
                <c:pt idx="1131">
                  <c:v>30-Jun-2023</c:v>
                </c:pt>
                <c:pt idx="1132">
                  <c:v>03-Jul-2023</c:v>
                </c:pt>
                <c:pt idx="1133">
                  <c:v>04-Jul-2023</c:v>
                </c:pt>
                <c:pt idx="1134">
                  <c:v>05-Jul-2023</c:v>
                </c:pt>
                <c:pt idx="1135">
                  <c:v>06-Jul-2023</c:v>
                </c:pt>
                <c:pt idx="1136">
                  <c:v>07-Jul-2023</c:v>
                </c:pt>
                <c:pt idx="1137">
                  <c:v>10-Jul-2023</c:v>
                </c:pt>
                <c:pt idx="1138">
                  <c:v>11-Jul-2023</c:v>
                </c:pt>
                <c:pt idx="1139">
                  <c:v>12-Jul-2023</c:v>
                </c:pt>
                <c:pt idx="1140">
                  <c:v>13-Jul-2023</c:v>
                </c:pt>
                <c:pt idx="1141">
                  <c:v>14-Jul-2023</c:v>
                </c:pt>
                <c:pt idx="1142">
                  <c:v>17-Jul-2023</c:v>
                </c:pt>
                <c:pt idx="1143">
                  <c:v>18-Jul-2023</c:v>
                </c:pt>
                <c:pt idx="1144">
                  <c:v>19-Jul-2023</c:v>
                </c:pt>
                <c:pt idx="1145">
                  <c:v>20-Jul-2023</c:v>
                </c:pt>
                <c:pt idx="1146">
                  <c:v>21-Jul-2023</c:v>
                </c:pt>
                <c:pt idx="1147">
                  <c:v>24-Jul-2023</c:v>
                </c:pt>
                <c:pt idx="1148">
                  <c:v>25-Jul-2023</c:v>
                </c:pt>
                <c:pt idx="1149">
                  <c:v>26-Jul-2023</c:v>
                </c:pt>
                <c:pt idx="1150">
                  <c:v>27-Jul-2023</c:v>
                </c:pt>
                <c:pt idx="1151">
                  <c:v>28-Jul-2023</c:v>
                </c:pt>
                <c:pt idx="1152">
                  <c:v>31-Jul-2023</c:v>
                </c:pt>
                <c:pt idx="1153">
                  <c:v>01-Aug-2023</c:v>
                </c:pt>
                <c:pt idx="1154">
                  <c:v>02-Aug-2023</c:v>
                </c:pt>
                <c:pt idx="1155">
                  <c:v>03-Aug-2023</c:v>
                </c:pt>
                <c:pt idx="1156">
                  <c:v>04-Aug-2023</c:v>
                </c:pt>
                <c:pt idx="1157">
                  <c:v>07-Aug-2023</c:v>
                </c:pt>
                <c:pt idx="1158">
                  <c:v>08-Aug-2023</c:v>
                </c:pt>
                <c:pt idx="1159">
                  <c:v>09-Aug-2023</c:v>
                </c:pt>
                <c:pt idx="1160">
                  <c:v>10-Aug-2023</c:v>
                </c:pt>
                <c:pt idx="1161">
                  <c:v>11-Aug-2023</c:v>
                </c:pt>
                <c:pt idx="1162">
                  <c:v>14-Aug-2023</c:v>
                </c:pt>
                <c:pt idx="1163">
                  <c:v>15-Aug-2023</c:v>
                </c:pt>
                <c:pt idx="1164">
                  <c:v>16-Aug-2023</c:v>
                </c:pt>
                <c:pt idx="1165">
                  <c:v>17-Aug-2023</c:v>
                </c:pt>
                <c:pt idx="1166">
                  <c:v>18-Aug-2023</c:v>
                </c:pt>
                <c:pt idx="1167">
                  <c:v>21-Aug-2023</c:v>
                </c:pt>
                <c:pt idx="1168">
                  <c:v>22-Aug-2023</c:v>
                </c:pt>
                <c:pt idx="1169">
                  <c:v>23-Aug-2023</c:v>
                </c:pt>
                <c:pt idx="1170">
                  <c:v>24-Aug-2023</c:v>
                </c:pt>
                <c:pt idx="1171">
                  <c:v>25-Aug-2023</c:v>
                </c:pt>
                <c:pt idx="1172">
                  <c:v>28-Aug-2023</c:v>
                </c:pt>
                <c:pt idx="1173">
                  <c:v>29-Aug-2023</c:v>
                </c:pt>
                <c:pt idx="1174">
                  <c:v>30-Aug-2023</c:v>
                </c:pt>
                <c:pt idx="1175">
                  <c:v>31-Aug-2023</c:v>
                </c:pt>
                <c:pt idx="1176">
                  <c:v>01-Sep-2023</c:v>
                </c:pt>
                <c:pt idx="1177">
                  <c:v>04-Sep-2023</c:v>
                </c:pt>
                <c:pt idx="1178">
                  <c:v>05-Sep-2023</c:v>
                </c:pt>
                <c:pt idx="1179">
                  <c:v>06-Sep-2023</c:v>
                </c:pt>
                <c:pt idx="1180">
                  <c:v>07-Sep-2023</c:v>
                </c:pt>
                <c:pt idx="1181">
                  <c:v>08-Sep-2023</c:v>
                </c:pt>
                <c:pt idx="1182">
                  <c:v>11-Sep-2023</c:v>
                </c:pt>
                <c:pt idx="1183">
                  <c:v>12-Sep-2023</c:v>
                </c:pt>
                <c:pt idx="1184">
                  <c:v>13-Sep-2023</c:v>
                </c:pt>
                <c:pt idx="1185">
                  <c:v>14-Sep-2023</c:v>
                </c:pt>
                <c:pt idx="1186">
                  <c:v>15-Sep-2023</c:v>
                </c:pt>
                <c:pt idx="1187">
                  <c:v>18-Sep-2023</c:v>
                </c:pt>
                <c:pt idx="1188">
                  <c:v>19-Sep-2023</c:v>
                </c:pt>
                <c:pt idx="1189">
                  <c:v>20-Sep-2023</c:v>
                </c:pt>
                <c:pt idx="1190">
                  <c:v>21-Sep-2023</c:v>
                </c:pt>
                <c:pt idx="1191">
                  <c:v>22-Sep-2023</c:v>
                </c:pt>
                <c:pt idx="1192">
                  <c:v>25-Sep-2023</c:v>
                </c:pt>
                <c:pt idx="1193">
                  <c:v>26-Sep-2023</c:v>
                </c:pt>
                <c:pt idx="1194">
                  <c:v>27-Sep-2023</c:v>
                </c:pt>
                <c:pt idx="1195">
                  <c:v>28-Sep-2023</c:v>
                </c:pt>
                <c:pt idx="1196">
                  <c:v>29-Sep-2023</c:v>
                </c:pt>
                <c:pt idx="1197">
                  <c:v>03-Oct-2023</c:v>
                </c:pt>
                <c:pt idx="1198">
                  <c:v>04-Oct-2023</c:v>
                </c:pt>
                <c:pt idx="1199">
                  <c:v>05-Oct-2023</c:v>
                </c:pt>
                <c:pt idx="1200">
                  <c:v>06-Oct-2023</c:v>
                </c:pt>
                <c:pt idx="1201">
                  <c:v>09-Oct-2023</c:v>
                </c:pt>
                <c:pt idx="1202">
                  <c:v>10-Oct-2023</c:v>
                </c:pt>
                <c:pt idx="1203">
                  <c:v>11-Oct-2023</c:v>
                </c:pt>
                <c:pt idx="1204">
                  <c:v>12-Oct-2023</c:v>
                </c:pt>
                <c:pt idx="1205">
                  <c:v>13-Oct-2023</c:v>
                </c:pt>
                <c:pt idx="1206">
                  <c:v>16-Oct-2023</c:v>
                </c:pt>
                <c:pt idx="1207">
                  <c:v>17-Oct-2023</c:v>
                </c:pt>
                <c:pt idx="1208">
                  <c:v>18-Oct-2023</c:v>
                </c:pt>
                <c:pt idx="1209">
                  <c:v>19-Oct-2023</c:v>
                </c:pt>
                <c:pt idx="1210">
                  <c:v>20-Oct-2023</c:v>
                </c:pt>
                <c:pt idx="1211">
                  <c:v>23-Oct-2023</c:v>
                </c:pt>
                <c:pt idx="1212">
                  <c:v>24-Oct-2023</c:v>
                </c:pt>
                <c:pt idx="1213">
                  <c:v>25-Oct-2023</c:v>
                </c:pt>
                <c:pt idx="1214">
                  <c:v>26-Oct-2023</c:v>
                </c:pt>
                <c:pt idx="1215">
                  <c:v>27-Oct-2023</c:v>
                </c:pt>
                <c:pt idx="1216">
                  <c:v>30-Oct-2023</c:v>
                </c:pt>
                <c:pt idx="1217">
                  <c:v>31-Oct-2023</c:v>
                </c:pt>
                <c:pt idx="1218">
                  <c:v>01-Nov-2023</c:v>
                </c:pt>
                <c:pt idx="1219">
                  <c:v>02-Nov-2023</c:v>
                </c:pt>
                <c:pt idx="1220">
                  <c:v>03-Nov-2023</c:v>
                </c:pt>
                <c:pt idx="1221">
                  <c:v>06-Nov-2023</c:v>
                </c:pt>
                <c:pt idx="1222">
                  <c:v>07-Nov-2023</c:v>
                </c:pt>
                <c:pt idx="1223">
                  <c:v>08-Nov-2023</c:v>
                </c:pt>
                <c:pt idx="1224">
                  <c:v>09-Nov-2023</c:v>
                </c:pt>
                <c:pt idx="1225">
                  <c:v>10-Nov-2023</c:v>
                </c:pt>
                <c:pt idx="1226">
                  <c:v>13-Nov-2023</c:v>
                </c:pt>
                <c:pt idx="1227">
                  <c:v>14-Nov-2023</c:v>
                </c:pt>
                <c:pt idx="1228">
                  <c:v>15-Nov-2023</c:v>
                </c:pt>
                <c:pt idx="1229">
                  <c:v>16-Nov-2023</c:v>
                </c:pt>
                <c:pt idx="1230">
                  <c:v>17-Nov-2023</c:v>
                </c:pt>
                <c:pt idx="1231">
                  <c:v>20-Nov-2023</c:v>
                </c:pt>
                <c:pt idx="1232">
                  <c:v>21-Nov-2023</c:v>
                </c:pt>
                <c:pt idx="1233">
                  <c:v>22-Nov-2023</c:v>
                </c:pt>
                <c:pt idx="1234">
                  <c:v>23-Nov-2023</c:v>
                </c:pt>
                <c:pt idx="1235">
                  <c:v>24-Nov-2023</c:v>
                </c:pt>
                <c:pt idx="1236">
                  <c:v>27-Nov-2023</c:v>
                </c:pt>
                <c:pt idx="1237">
                  <c:v>28-Nov-2023</c:v>
                </c:pt>
                <c:pt idx="1238">
                  <c:v>29-Nov-2023</c:v>
                </c:pt>
                <c:pt idx="1239">
                  <c:v>30-Nov-2023</c:v>
                </c:pt>
                <c:pt idx="1240">
                  <c:v>01-Dec-2023</c:v>
                </c:pt>
                <c:pt idx="1241">
                  <c:v>04-Dec-2023</c:v>
                </c:pt>
                <c:pt idx="1242">
                  <c:v>05-Dec-2023</c:v>
                </c:pt>
                <c:pt idx="1243">
                  <c:v>06-Dec-2023</c:v>
                </c:pt>
                <c:pt idx="1244">
                  <c:v>07-Dec-2023</c:v>
                </c:pt>
                <c:pt idx="1245">
                  <c:v>08-Dec-2023</c:v>
                </c:pt>
                <c:pt idx="1246">
                  <c:v>11-Dec-2023</c:v>
                </c:pt>
                <c:pt idx="1247">
                  <c:v>12-Dec-2023</c:v>
                </c:pt>
                <c:pt idx="1248">
                  <c:v>13-Dec-2023</c:v>
                </c:pt>
                <c:pt idx="1249">
                  <c:v>14-Dec-2023</c:v>
                </c:pt>
                <c:pt idx="1250">
                  <c:v>15-Dec-2023</c:v>
                </c:pt>
                <c:pt idx="1251">
                  <c:v>18-Dec-2023</c:v>
                </c:pt>
                <c:pt idx="1252">
                  <c:v>19-Dec-2023</c:v>
                </c:pt>
                <c:pt idx="1253">
                  <c:v>20-Dec-2023</c:v>
                </c:pt>
                <c:pt idx="1254">
                  <c:v>21-Dec-2023</c:v>
                </c:pt>
                <c:pt idx="1255">
                  <c:v>22-Dec-2023</c:v>
                </c:pt>
                <c:pt idx="1256">
                  <c:v>27-Dec-2023</c:v>
                </c:pt>
                <c:pt idx="1257">
                  <c:v>28-Dec-2023</c:v>
                </c:pt>
                <c:pt idx="1258">
                  <c:v>29-Dec-2023</c:v>
                </c:pt>
                <c:pt idx="1259">
                  <c:v>02-Jan-2024</c:v>
                </c:pt>
                <c:pt idx="1260">
                  <c:v>03-Jan-2024</c:v>
                </c:pt>
                <c:pt idx="1261">
                  <c:v>04-Jan-2024</c:v>
                </c:pt>
                <c:pt idx="1262">
                  <c:v>05-Jan-2024</c:v>
                </c:pt>
                <c:pt idx="1263">
                  <c:v>08-Jan-2024</c:v>
                </c:pt>
                <c:pt idx="1264">
                  <c:v>09-Jan-2024</c:v>
                </c:pt>
                <c:pt idx="1265">
                  <c:v>10-Jan-2024</c:v>
                </c:pt>
                <c:pt idx="1266">
                  <c:v>11-Jan-2024</c:v>
                </c:pt>
                <c:pt idx="1267">
                  <c:v>12-Jan-2024</c:v>
                </c:pt>
                <c:pt idx="1268">
                  <c:v>15-Jan-2024</c:v>
                </c:pt>
                <c:pt idx="1269">
                  <c:v>16-Jan-2024</c:v>
                </c:pt>
                <c:pt idx="1270">
                  <c:v>17-Jan-2024</c:v>
                </c:pt>
                <c:pt idx="1271">
                  <c:v>18-Jan-2024</c:v>
                </c:pt>
                <c:pt idx="1272">
                  <c:v>19-Jan-2024</c:v>
                </c:pt>
                <c:pt idx="1273">
                  <c:v>22-Jan-2024</c:v>
                </c:pt>
                <c:pt idx="1274">
                  <c:v>23-Jan-2024</c:v>
                </c:pt>
                <c:pt idx="1275">
                  <c:v>24-Jan-2024</c:v>
                </c:pt>
                <c:pt idx="1276">
                  <c:v>25-Jan-2024</c:v>
                </c:pt>
                <c:pt idx="1277">
                  <c:v>29-Jan-2024</c:v>
                </c:pt>
                <c:pt idx="1278">
                  <c:v>30-Jan-2024</c:v>
                </c:pt>
                <c:pt idx="1279">
                  <c:v>31-Jan-2024</c:v>
                </c:pt>
                <c:pt idx="1280">
                  <c:v>01-Feb-2024</c:v>
                </c:pt>
                <c:pt idx="1281">
                  <c:v>02-Feb-2024</c:v>
                </c:pt>
                <c:pt idx="1282">
                  <c:v>05-Feb-2024</c:v>
                </c:pt>
                <c:pt idx="1283">
                  <c:v>06-Feb-2024</c:v>
                </c:pt>
                <c:pt idx="1284">
                  <c:v>07-Feb-2024</c:v>
                </c:pt>
                <c:pt idx="1285">
                  <c:v>08-Feb-2024</c:v>
                </c:pt>
                <c:pt idx="1286">
                  <c:v>09-Feb-2024</c:v>
                </c:pt>
                <c:pt idx="1287">
                  <c:v>12-Feb-2024</c:v>
                </c:pt>
                <c:pt idx="1288">
                  <c:v>13-Feb-2024</c:v>
                </c:pt>
                <c:pt idx="1289">
                  <c:v>14-Feb-2024</c:v>
                </c:pt>
                <c:pt idx="1290">
                  <c:v>15-Feb-2024</c:v>
                </c:pt>
                <c:pt idx="1291">
                  <c:v>16-Feb-2024</c:v>
                </c:pt>
                <c:pt idx="1292">
                  <c:v>19-Feb-2024</c:v>
                </c:pt>
                <c:pt idx="1293">
                  <c:v>20-Feb-2024</c:v>
                </c:pt>
                <c:pt idx="1294">
                  <c:v>21-Feb-2024</c:v>
                </c:pt>
                <c:pt idx="1295">
                  <c:v>22-Feb-2024</c:v>
                </c:pt>
                <c:pt idx="1296">
                  <c:v>23-Feb-2024</c:v>
                </c:pt>
                <c:pt idx="1297">
                  <c:v>26-Feb-2024</c:v>
                </c:pt>
                <c:pt idx="1298">
                  <c:v>27-Feb-2024</c:v>
                </c:pt>
                <c:pt idx="1299">
                  <c:v>28-Feb-2024</c:v>
                </c:pt>
                <c:pt idx="1300">
                  <c:v>29-Feb-2024</c:v>
                </c:pt>
                <c:pt idx="1301">
                  <c:v>01-Mar-2024</c:v>
                </c:pt>
                <c:pt idx="1302">
                  <c:v>04-Mar-2024</c:v>
                </c:pt>
                <c:pt idx="1303">
                  <c:v>05-Mar-2024</c:v>
                </c:pt>
                <c:pt idx="1304">
                  <c:v>06-Mar-2024</c:v>
                </c:pt>
                <c:pt idx="1305">
                  <c:v>07-Mar-2024</c:v>
                </c:pt>
                <c:pt idx="1306">
                  <c:v>08-Mar-2024</c:v>
                </c:pt>
                <c:pt idx="1307">
                  <c:v>11-Mar-2024</c:v>
                </c:pt>
                <c:pt idx="1308">
                  <c:v>12-Mar-2024</c:v>
                </c:pt>
                <c:pt idx="1309">
                  <c:v>13-Mar-2024</c:v>
                </c:pt>
                <c:pt idx="1310">
                  <c:v>14-Mar-2024</c:v>
                </c:pt>
                <c:pt idx="1311">
                  <c:v>15-Mar-2024</c:v>
                </c:pt>
                <c:pt idx="1312">
                  <c:v>18-Mar-2024</c:v>
                </c:pt>
                <c:pt idx="1313">
                  <c:v>19-Mar-2024</c:v>
                </c:pt>
                <c:pt idx="1314">
                  <c:v>20-Mar-2024</c:v>
                </c:pt>
                <c:pt idx="1315">
                  <c:v>21-Mar-2024</c:v>
                </c:pt>
                <c:pt idx="1316">
                  <c:v>22-Mar-2024</c:v>
                </c:pt>
                <c:pt idx="1317">
                  <c:v>25-Mar-2024</c:v>
                </c:pt>
                <c:pt idx="1318">
                  <c:v>26-Mar-2024</c:v>
                </c:pt>
                <c:pt idx="1319">
                  <c:v>27-Mar-2024</c:v>
                </c:pt>
                <c:pt idx="1320">
                  <c:v>28-Mar-2024</c:v>
                </c:pt>
                <c:pt idx="1321">
                  <c:v>02-Apr-2024</c:v>
                </c:pt>
                <c:pt idx="1322">
                  <c:v>03-Apr-2024</c:v>
                </c:pt>
                <c:pt idx="1323">
                  <c:v>04-Apr-2024</c:v>
                </c:pt>
                <c:pt idx="1324">
                  <c:v>05-Apr-2024</c:v>
                </c:pt>
                <c:pt idx="1325">
                  <c:v>08-Apr-2024</c:v>
                </c:pt>
                <c:pt idx="1326">
                  <c:v>09-Apr-2024</c:v>
                </c:pt>
                <c:pt idx="1327">
                  <c:v>10-Apr-2024</c:v>
                </c:pt>
                <c:pt idx="1328">
                  <c:v>11-Apr-2024</c:v>
                </c:pt>
                <c:pt idx="1329">
                  <c:v>12-Apr-2024</c:v>
                </c:pt>
                <c:pt idx="1330">
                  <c:v>15-Apr-2024</c:v>
                </c:pt>
                <c:pt idx="1331">
                  <c:v>16-Apr-2024</c:v>
                </c:pt>
                <c:pt idx="1332">
                  <c:v>17-Apr-2024</c:v>
                </c:pt>
                <c:pt idx="1333">
                  <c:v>18-Apr-2024</c:v>
                </c:pt>
                <c:pt idx="1334">
                  <c:v>19-Apr-2024</c:v>
                </c:pt>
                <c:pt idx="1335">
                  <c:v>22-Apr-2024</c:v>
                </c:pt>
                <c:pt idx="1336">
                  <c:v>23-Apr-2024</c:v>
                </c:pt>
                <c:pt idx="1337">
                  <c:v>24-Apr-2024</c:v>
                </c:pt>
                <c:pt idx="1338">
                  <c:v>26-Apr-2024</c:v>
                </c:pt>
                <c:pt idx="1339">
                  <c:v>29-Apr-2024</c:v>
                </c:pt>
                <c:pt idx="1340">
                  <c:v>30-Apr-2024</c:v>
                </c:pt>
                <c:pt idx="1341">
                  <c:v>01-May-2024</c:v>
                </c:pt>
                <c:pt idx="1342">
                  <c:v>02-May-2024</c:v>
                </c:pt>
                <c:pt idx="1343">
                  <c:v>03-May-2024</c:v>
                </c:pt>
                <c:pt idx="1344">
                  <c:v>06-May-2024</c:v>
                </c:pt>
                <c:pt idx="1345">
                  <c:v>07-May-2024</c:v>
                </c:pt>
                <c:pt idx="1346">
                  <c:v>08-May-2024</c:v>
                </c:pt>
                <c:pt idx="1347">
                  <c:v>09-May-2024</c:v>
                </c:pt>
                <c:pt idx="1348">
                  <c:v>10-May-2024</c:v>
                </c:pt>
                <c:pt idx="1349">
                  <c:v>13-May-2024</c:v>
                </c:pt>
                <c:pt idx="1350">
                  <c:v>14-May-2024</c:v>
                </c:pt>
                <c:pt idx="1351">
                  <c:v>15-May-2024</c:v>
                </c:pt>
                <c:pt idx="1352">
                  <c:v>16-May-2024</c:v>
                </c:pt>
                <c:pt idx="1353">
                  <c:v>17-May-2024</c:v>
                </c:pt>
                <c:pt idx="1354">
                  <c:v>20-May-2024</c:v>
                </c:pt>
                <c:pt idx="1355">
                  <c:v>21-May-2024</c:v>
                </c:pt>
                <c:pt idx="1356">
                  <c:v>22-May-2024</c:v>
                </c:pt>
                <c:pt idx="1357">
                  <c:v>23-May-2024</c:v>
                </c:pt>
                <c:pt idx="1358">
                  <c:v>24-May-2024</c:v>
                </c:pt>
                <c:pt idx="1359">
                  <c:v>27-May-2024</c:v>
                </c:pt>
                <c:pt idx="1360">
                  <c:v>28-May-2024</c:v>
                </c:pt>
                <c:pt idx="1361">
                  <c:v>29-May-2024</c:v>
                </c:pt>
                <c:pt idx="1362">
                  <c:v>30-May-2024</c:v>
                </c:pt>
                <c:pt idx="1363">
                  <c:v>31-May-2024</c:v>
                </c:pt>
                <c:pt idx="1364">
                  <c:v>03-Jun-2024</c:v>
                </c:pt>
                <c:pt idx="1365">
                  <c:v>04-Jun-2024</c:v>
                </c:pt>
                <c:pt idx="1366">
                  <c:v>05-Jun-2024</c:v>
                </c:pt>
                <c:pt idx="1367">
                  <c:v>06-Jun-2024</c:v>
                </c:pt>
                <c:pt idx="1368">
                  <c:v>07-Jun-2024</c:v>
                </c:pt>
                <c:pt idx="1369">
                  <c:v>11-Jun-2024</c:v>
                </c:pt>
                <c:pt idx="1370">
                  <c:v>12-Jun-2024</c:v>
                </c:pt>
                <c:pt idx="1371">
                  <c:v>13-Jun-2024</c:v>
                </c:pt>
                <c:pt idx="1372">
                  <c:v>14-Jun-2024</c:v>
                </c:pt>
                <c:pt idx="1373">
                  <c:v>17-Jun-2024</c:v>
                </c:pt>
                <c:pt idx="1374">
                  <c:v>18-Jun-2024</c:v>
                </c:pt>
                <c:pt idx="1375">
                  <c:v>19-Jun-2024</c:v>
                </c:pt>
                <c:pt idx="1376">
                  <c:v>20-Jun-2024</c:v>
                </c:pt>
                <c:pt idx="1377">
                  <c:v>21-Jun-2024</c:v>
                </c:pt>
                <c:pt idx="1378">
                  <c:v>24-Jun-2024</c:v>
                </c:pt>
                <c:pt idx="1379">
                  <c:v>25-Jun-2024</c:v>
                </c:pt>
                <c:pt idx="1380">
                  <c:v>26-Jun-2024</c:v>
                </c:pt>
                <c:pt idx="1381">
                  <c:v>27-Jun-2024</c:v>
                </c:pt>
                <c:pt idx="1382">
                  <c:v>28-Jun-2024</c:v>
                </c:pt>
                <c:pt idx="1383">
                  <c:v>01-Jul-2024</c:v>
                </c:pt>
                <c:pt idx="1384">
                  <c:v>02-Jul-2024</c:v>
                </c:pt>
                <c:pt idx="1385">
                  <c:v>03-Jul-2024</c:v>
                </c:pt>
                <c:pt idx="1386">
                  <c:v>04-Jul-2024</c:v>
                </c:pt>
                <c:pt idx="1387">
                  <c:v>05-Jul-2024</c:v>
                </c:pt>
                <c:pt idx="1388">
                  <c:v>08-Jul-2024</c:v>
                </c:pt>
                <c:pt idx="1389">
                  <c:v>09-Jul-2024</c:v>
                </c:pt>
                <c:pt idx="1390">
                  <c:v>10-Jul-2024</c:v>
                </c:pt>
                <c:pt idx="1391">
                  <c:v>11-Jul-2024</c:v>
                </c:pt>
                <c:pt idx="1392">
                  <c:v>12-Jul-2024</c:v>
                </c:pt>
                <c:pt idx="1393">
                  <c:v>15-Jul-2024</c:v>
                </c:pt>
                <c:pt idx="1394">
                  <c:v>16-Jul-2024</c:v>
                </c:pt>
                <c:pt idx="1395">
                  <c:v>17-Jul-2024</c:v>
                </c:pt>
                <c:pt idx="1396">
                  <c:v>18-Jul-2024</c:v>
                </c:pt>
                <c:pt idx="1397">
                  <c:v>19-Jul-2024</c:v>
                </c:pt>
                <c:pt idx="1398">
                  <c:v>22-Jul-2024</c:v>
                </c:pt>
                <c:pt idx="1399">
                  <c:v>23-Jul-2024</c:v>
                </c:pt>
                <c:pt idx="1400">
                  <c:v>24-Jul-2024</c:v>
                </c:pt>
                <c:pt idx="1401">
                  <c:v>25-Jul-2024</c:v>
                </c:pt>
                <c:pt idx="1402">
                  <c:v>26-Jul-2024</c:v>
                </c:pt>
                <c:pt idx="1403">
                  <c:v>29-Jul-2024</c:v>
                </c:pt>
                <c:pt idx="1404">
                  <c:v>30-Jul-2024</c:v>
                </c:pt>
                <c:pt idx="1405">
                  <c:v>31-Jul-2024</c:v>
                </c:pt>
                <c:pt idx="1406">
                  <c:v>01-Aug-2024</c:v>
                </c:pt>
                <c:pt idx="1407">
                  <c:v>02-Aug-2024</c:v>
                </c:pt>
                <c:pt idx="1408">
                  <c:v>05-Aug-2024</c:v>
                </c:pt>
                <c:pt idx="1409">
                  <c:v>06-Aug-2024</c:v>
                </c:pt>
                <c:pt idx="1410">
                  <c:v>07-Aug-2024</c:v>
                </c:pt>
                <c:pt idx="1411">
                  <c:v>08-Aug-2024</c:v>
                </c:pt>
                <c:pt idx="1412">
                  <c:v>09-Aug-2024</c:v>
                </c:pt>
                <c:pt idx="1413">
                  <c:v>12-Aug-2024</c:v>
                </c:pt>
                <c:pt idx="1414">
                  <c:v>13-Aug-2024</c:v>
                </c:pt>
                <c:pt idx="1415">
                  <c:v>14-Aug-2024</c:v>
                </c:pt>
                <c:pt idx="1416">
                  <c:v>15-Aug-2024</c:v>
                </c:pt>
                <c:pt idx="1417">
                  <c:v>16-Aug-2024</c:v>
                </c:pt>
                <c:pt idx="1418">
                  <c:v>19-Aug-2024</c:v>
                </c:pt>
                <c:pt idx="1419">
                  <c:v>20-Aug-2024</c:v>
                </c:pt>
                <c:pt idx="1420">
                  <c:v>21-Aug-2024</c:v>
                </c:pt>
                <c:pt idx="1421">
                  <c:v>22-Aug-2024</c:v>
                </c:pt>
                <c:pt idx="1422">
                  <c:v>23-Aug-2024</c:v>
                </c:pt>
                <c:pt idx="1423">
                  <c:v>26-Aug-2024</c:v>
                </c:pt>
                <c:pt idx="1424">
                  <c:v>27-Aug-2024</c:v>
                </c:pt>
                <c:pt idx="1425">
                  <c:v>28-Aug-2024</c:v>
                </c:pt>
                <c:pt idx="1426">
                  <c:v>29-Aug-2024</c:v>
                </c:pt>
                <c:pt idx="1427">
                  <c:v>30-Aug-2024</c:v>
                </c:pt>
                <c:pt idx="1428">
                  <c:v>02-Sep-2024</c:v>
                </c:pt>
                <c:pt idx="1429">
                  <c:v>03-Sep-2024</c:v>
                </c:pt>
                <c:pt idx="1430">
                  <c:v>04-Sep-2024</c:v>
                </c:pt>
                <c:pt idx="1431">
                  <c:v>05-Sep-2024</c:v>
                </c:pt>
                <c:pt idx="1432">
                  <c:v>06-Sep-2024</c:v>
                </c:pt>
                <c:pt idx="1433">
                  <c:v>09-Sep-2024</c:v>
                </c:pt>
                <c:pt idx="1434">
                  <c:v>10-Sep-2024</c:v>
                </c:pt>
                <c:pt idx="1435">
                  <c:v>11-Sep-2024</c:v>
                </c:pt>
                <c:pt idx="1436">
                  <c:v>12-Sep-2024</c:v>
                </c:pt>
                <c:pt idx="1437">
                  <c:v>13-Sep-2024</c:v>
                </c:pt>
                <c:pt idx="1438">
                  <c:v>16-Sep-2024</c:v>
                </c:pt>
                <c:pt idx="1439">
                  <c:v>17-Sep-2024</c:v>
                </c:pt>
                <c:pt idx="1440">
                  <c:v>18-Sep-2024</c:v>
                </c:pt>
                <c:pt idx="1441">
                  <c:v>19-Sep-2024</c:v>
                </c:pt>
                <c:pt idx="1442">
                  <c:v>20-Sep-2024</c:v>
                </c:pt>
                <c:pt idx="1443">
                  <c:v>23-Sep-2024</c:v>
                </c:pt>
                <c:pt idx="1444">
                  <c:v>24-Sep-2024</c:v>
                </c:pt>
                <c:pt idx="1445">
                  <c:v>25-Sep-2024</c:v>
                </c:pt>
                <c:pt idx="1446">
                  <c:v>26-Sep-2024</c:v>
                </c:pt>
                <c:pt idx="1447">
                  <c:v>27-Sep-2024</c:v>
                </c:pt>
                <c:pt idx="1448">
                  <c:v>30-Sep-2024</c:v>
                </c:pt>
                <c:pt idx="1449">
                  <c:v>01-Oct-2024</c:v>
                </c:pt>
                <c:pt idx="1450">
                  <c:v>02-Oct-2024</c:v>
                </c:pt>
                <c:pt idx="1451">
                  <c:v>03-Oct-2024</c:v>
                </c:pt>
                <c:pt idx="1452">
                  <c:v>04-Oct-2024</c:v>
                </c:pt>
                <c:pt idx="1453">
                  <c:v>08-Oct-2024</c:v>
                </c:pt>
                <c:pt idx="1454">
                  <c:v>09-Oct-2024</c:v>
                </c:pt>
                <c:pt idx="1455">
                  <c:v>10-Oct-2024</c:v>
                </c:pt>
                <c:pt idx="1456">
                  <c:v>11-Oct-2024</c:v>
                </c:pt>
                <c:pt idx="1457">
                  <c:v>14-Oct-2024</c:v>
                </c:pt>
                <c:pt idx="1458">
                  <c:v>15-Oct-2024</c:v>
                </c:pt>
                <c:pt idx="1459">
                  <c:v>16-Oct-2024</c:v>
                </c:pt>
                <c:pt idx="1460">
                  <c:v>17-Oct-2024</c:v>
                </c:pt>
                <c:pt idx="1461">
                  <c:v>18-Oct-2024</c:v>
                </c:pt>
                <c:pt idx="1462">
                  <c:v>21-Oct-2024</c:v>
                </c:pt>
                <c:pt idx="1463">
                  <c:v>22-Oct-2024</c:v>
                </c:pt>
                <c:pt idx="1464">
                  <c:v>23-Oct-2024</c:v>
                </c:pt>
                <c:pt idx="1465">
                  <c:v>24-Oct-2024</c:v>
                </c:pt>
                <c:pt idx="1466">
                  <c:v>25-Oct-2024</c:v>
                </c:pt>
                <c:pt idx="1467">
                  <c:v>28-Oct-2024</c:v>
                </c:pt>
                <c:pt idx="1468">
                  <c:v>29-Oct-2024</c:v>
                </c:pt>
                <c:pt idx="1469">
                  <c:v>30-Oct-2024</c:v>
                </c:pt>
                <c:pt idx="1470">
                  <c:v>31-Oct-2024</c:v>
                </c:pt>
                <c:pt idx="1471">
                  <c:v>01-Nov-2024</c:v>
                </c:pt>
                <c:pt idx="1472">
                  <c:v>04-Nov-2024</c:v>
                </c:pt>
                <c:pt idx="1473">
                  <c:v>05-Nov-2024</c:v>
                </c:pt>
                <c:pt idx="1474">
                  <c:v>06-Nov-2024</c:v>
                </c:pt>
                <c:pt idx="1475">
                  <c:v>07-Nov-2024</c:v>
                </c:pt>
                <c:pt idx="1476">
                  <c:v>08-Nov-2024</c:v>
                </c:pt>
                <c:pt idx="1477">
                  <c:v>11-Nov-2024</c:v>
                </c:pt>
                <c:pt idx="1478">
                  <c:v>12-Nov-2024</c:v>
                </c:pt>
                <c:pt idx="1479">
                  <c:v>13-Nov-2024</c:v>
                </c:pt>
                <c:pt idx="1480">
                  <c:v>14-Nov-2024</c:v>
                </c:pt>
                <c:pt idx="1481">
                  <c:v>15-Nov-2024</c:v>
                </c:pt>
                <c:pt idx="1482">
                  <c:v>18-Nov-2024</c:v>
                </c:pt>
                <c:pt idx="1483">
                  <c:v>19-Nov-2024</c:v>
                </c:pt>
                <c:pt idx="1484">
                  <c:v>20-Nov-2024</c:v>
                </c:pt>
                <c:pt idx="1485">
                  <c:v>21-Nov-2024</c:v>
                </c:pt>
                <c:pt idx="1486">
                  <c:v>22-Nov-2024</c:v>
                </c:pt>
                <c:pt idx="1487">
                  <c:v>25-Nov-2024</c:v>
                </c:pt>
                <c:pt idx="1488">
                  <c:v>26-Nov-2024</c:v>
                </c:pt>
                <c:pt idx="1489">
                  <c:v>27-Nov-2024</c:v>
                </c:pt>
                <c:pt idx="1490">
                  <c:v>28-Nov-2024</c:v>
                </c:pt>
                <c:pt idx="1491">
                  <c:v>29-Nov-2024</c:v>
                </c:pt>
                <c:pt idx="1492">
                  <c:v>02-Dec-2024</c:v>
                </c:pt>
                <c:pt idx="1493">
                  <c:v>03-Dec-2024</c:v>
                </c:pt>
                <c:pt idx="1494">
                  <c:v>04-Dec-2024</c:v>
                </c:pt>
                <c:pt idx="1495">
                  <c:v>05-Dec-2024</c:v>
                </c:pt>
                <c:pt idx="1496">
                  <c:v>06-Dec-2024</c:v>
                </c:pt>
                <c:pt idx="1497">
                  <c:v>09-Dec-2024</c:v>
                </c:pt>
                <c:pt idx="1498">
                  <c:v>10-Dec-2024</c:v>
                </c:pt>
                <c:pt idx="1499">
                  <c:v>11-Dec-2024</c:v>
                </c:pt>
                <c:pt idx="1500">
                  <c:v>12-Dec-2024</c:v>
                </c:pt>
                <c:pt idx="1501">
                  <c:v>13-Dec-2024</c:v>
                </c:pt>
                <c:pt idx="1502">
                  <c:v>16-Dec-2024</c:v>
                </c:pt>
                <c:pt idx="1503">
                  <c:v>17-Dec-2024</c:v>
                </c:pt>
                <c:pt idx="1504">
                  <c:v>18-Dec-2024</c:v>
                </c:pt>
                <c:pt idx="1505">
                  <c:v>19-Dec-2024</c:v>
                </c:pt>
                <c:pt idx="1506">
                  <c:v>20-Dec-2024</c:v>
                </c:pt>
                <c:pt idx="1507">
                  <c:v>23-Dec-2024</c:v>
                </c:pt>
                <c:pt idx="1508">
                  <c:v>24-Dec-2024</c:v>
                </c:pt>
                <c:pt idx="1509">
                  <c:v>27-Dec-2024</c:v>
                </c:pt>
                <c:pt idx="1510">
                  <c:v>30-Dec-2024</c:v>
                </c:pt>
                <c:pt idx="1511">
                  <c:v>31-Dec-2024</c:v>
                </c:pt>
                <c:pt idx="1512">
                  <c:v>02-Jan-2025</c:v>
                </c:pt>
                <c:pt idx="1513">
                  <c:v>03-Jan-2025</c:v>
                </c:pt>
                <c:pt idx="1514">
                  <c:v>06-Jan-2025</c:v>
                </c:pt>
                <c:pt idx="1515">
                  <c:v>07-Jan-2025</c:v>
                </c:pt>
                <c:pt idx="1516">
                  <c:v>08-Jan-2025</c:v>
                </c:pt>
                <c:pt idx="1517">
                  <c:v>09-Jan-2025</c:v>
                </c:pt>
                <c:pt idx="1518">
                  <c:v>10-Jan-2025</c:v>
                </c:pt>
                <c:pt idx="1519">
                  <c:v>13-Jan-2025</c:v>
                </c:pt>
                <c:pt idx="1520">
                  <c:v>14-Jan-2025</c:v>
                </c:pt>
                <c:pt idx="1521">
                  <c:v>15-Jan-2025</c:v>
                </c:pt>
                <c:pt idx="1522">
                  <c:v>16-Jan-2025</c:v>
                </c:pt>
                <c:pt idx="1523">
                  <c:v>17-Jan-2025</c:v>
                </c:pt>
                <c:pt idx="1524">
                  <c:v>20-Jan-2025</c:v>
                </c:pt>
                <c:pt idx="1525">
                  <c:v>21-Jan-2025</c:v>
                </c:pt>
                <c:pt idx="1526">
                  <c:v>22-Jan-2025</c:v>
                </c:pt>
                <c:pt idx="1527">
                  <c:v>23-Jan-2025</c:v>
                </c:pt>
                <c:pt idx="1528">
                  <c:v>24-Jan-2025</c:v>
                </c:pt>
                <c:pt idx="1529">
                  <c:v>28-Jan-2025</c:v>
                </c:pt>
                <c:pt idx="1530">
                  <c:v>29-Jan-2025</c:v>
                </c:pt>
                <c:pt idx="1531">
                  <c:v>30-Jan-2025</c:v>
                </c:pt>
                <c:pt idx="1532">
                  <c:v>31-Jan-2025</c:v>
                </c:pt>
                <c:pt idx="1533">
                  <c:v>03-Feb-2025</c:v>
                </c:pt>
                <c:pt idx="1534">
                  <c:v>04-Feb-2025</c:v>
                </c:pt>
                <c:pt idx="1535">
                  <c:v>05-Feb-2025</c:v>
                </c:pt>
                <c:pt idx="1536">
                  <c:v>06-Feb-2025</c:v>
                </c:pt>
                <c:pt idx="1537">
                  <c:v>07-Feb-2025</c:v>
                </c:pt>
                <c:pt idx="1538">
                  <c:v>10-Feb-2025</c:v>
                </c:pt>
                <c:pt idx="1539">
                  <c:v>11-Feb-2025</c:v>
                </c:pt>
                <c:pt idx="1540">
                  <c:v>12-Feb-2025</c:v>
                </c:pt>
                <c:pt idx="1541">
                  <c:v>13-Feb-2025</c:v>
                </c:pt>
                <c:pt idx="1542">
                  <c:v>14-Feb-2025</c:v>
                </c:pt>
                <c:pt idx="1543">
                  <c:v>17-Feb-2025</c:v>
                </c:pt>
                <c:pt idx="1544">
                  <c:v>18-Feb-2025</c:v>
                </c:pt>
                <c:pt idx="1545">
                  <c:v>19-Feb-2025</c:v>
                </c:pt>
                <c:pt idx="1546">
                  <c:v>20-Feb-2025</c:v>
                </c:pt>
                <c:pt idx="1547">
                  <c:v>21-Feb-2025</c:v>
                </c:pt>
                <c:pt idx="1548">
                  <c:v>24-Feb-2025</c:v>
                </c:pt>
                <c:pt idx="1549">
                  <c:v>25-Feb-2025</c:v>
                </c:pt>
                <c:pt idx="1550">
                  <c:v>26-Feb-2025</c:v>
                </c:pt>
                <c:pt idx="1551">
                  <c:v>27-Feb-2025</c:v>
                </c:pt>
                <c:pt idx="1552">
                  <c:v>28-Feb-2025</c:v>
                </c:pt>
                <c:pt idx="1553">
                  <c:v>03-Mar-2025</c:v>
                </c:pt>
                <c:pt idx="1554">
                  <c:v>04-Mar-2025</c:v>
                </c:pt>
                <c:pt idx="1555">
                  <c:v>05-Mar-2025</c:v>
                </c:pt>
                <c:pt idx="1556">
                  <c:v>06-Mar-2025</c:v>
                </c:pt>
                <c:pt idx="1557">
                  <c:v>07-Mar-2025</c:v>
                </c:pt>
                <c:pt idx="1558">
                  <c:v>10-Mar-2025</c:v>
                </c:pt>
                <c:pt idx="1559">
                  <c:v>11-Mar-2025</c:v>
                </c:pt>
                <c:pt idx="1560">
                  <c:v>12-Mar-2025</c:v>
                </c:pt>
                <c:pt idx="1561">
                  <c:v>13-Mar-2025</c:v>
                </c:pt>
                <c:pt idx="1562">
                  <c:v>14-Mar-2025</c:v>
                </c:pt>
                <c:pt idx="1563">
                  <c:v>17-Mar-2025</c:v>
                </c:pt>
                <c:pt idx="1564">
                  <c:v>18-Mar-2025</c:v>
                </c:pt>
                <c:pt idx="1565">
                  <c:v>19-Mar-2025</c:v>
                </c:pt>
                <c:pt idx="1566">
                  <c:v>20-Mar-2025</c:v>
                </c:pt>
                <c:pt idx="1567">
                  <c:v>21-Mar-2025</c:v>
                </c:pt>
                <c:pt idx="1568">
                  <c:v>24-Mar-2025</c:v>
                </c:pt>
                <c:pt idx="1569">
                  <c:v>25-Mar-2025</c:v>
                </c:pt>
                <c:pt idx="1570">
                  <c:v>26-Mar-2025</c:v>
                </c:pt>
                <c:pt idx="1571">
                  <c:v>27-Mar-2025</c:v>
                </c:pt>
                <c:pt idx="1572">
                  <c:v>28-Mar-2025</c:v>
                </c:pt>
                <c:pt idx="1573">
                  <c:v>31-Mar-2025</c:v>
                </c:pt>
                <c:pt idx="1574">
                  <c:v>01-Apr-2025</c:v>
                </c:pt>
                <c:pt idx="1575">
                  <c:v>02-Apr-2025</c:v>
                </c:pt>
                <c:pt idx="1576">
                  <c:v>03-Apr-2025</c:v>
                </c:pt>
                <c:pt idx="1577">
                  <c:v>04-Apr-2025</c:v>
                </c:pt>
                <c:pt idx="1578">
                  <c:v>07-Apr-2025</c:v>
                </c:pt>
                <c:pt idx="1579">
                  <c:v>08-Apr-2025</c:v>
                </c:pt>
                <c:pt idx="1580">
                  <c:v>09-Apr-2025</c:v>
                </c:pt>
              </c:strCache>
            </c:strRef>
          </c:cat>
          <c:val>
            <c:numRef>
              <c:f>'Risk Free Rate'!$D$10:$D$1590</c:f>
              <c:numCache>
                <c:formatCode>#0.000</c:formatCode>
                <c:ptCount val="1581"/>
                <c:pt idx="0">
                  <c:v>1.944</c:v>
                </c:pt>
                <c:pt idx="1">
                  <c:v>1.8640000000000001</c:v>
                </c:pt>
                <c:pt idx="2">
                  <c:v>1.907</c:v>
                </c:pt>
                <c:pt idx="3">
                  <c:v>1.9339999999999999</c:v>
                </c:pt>
                <c:pt idx="4">
                  <c:v>1.9550000000000001</c:v>
                </c:pt>
                <c:pt idx="5">
                  <c:v>1.9710000000000001</c:v>
                </c:pt>
                <c:pt idx="6">
                  <c:v>1.9590000000000001</c:v>
                </c:pt>
                <c:pt idx="7">
                  <c:v>1.9530000000000001</c:v>
                </c:pt>
                <c:pt idx="8">
                  <c:v>1.9239999999999999</c:v>
                </c:pt>
                <c:pt idx="9">
                  <c:v>1.9359999999999999</c:v>
                </c:pt>
                <c:pt idx="10">
                  <c:v>1.917</c:v>
                </c:pt>
                <c:pt idx="11">
                  <c:v>1.911</c:v>
                </c:pt>
                <c:pt idx="12">
                  <c:v>1.9379999999999999</c:v>
                </c:pt>
                <c:pt idx="13">
                  <c:v>1.9350000000000001</c:v>
                </c:pt>
                <c:pt idx="14">
                  <c:v>1.929</c:v>
                </c:pt>
                <c:pt idx="15">
                  <c:v>1.905</c:v>
                </c:pt>
                <c:pt idx="16">
                  <c:v>1.877</c:v>
                </c:pt>
                <c:pt idx="17">
                  <c:v>1.8240000000000001</c:v>
                </c:pt>
                <c:pt idx="18">
                  <c:v>1.839</c:v>
                </c:pt>
                <c:pt idx="19">
                  <c:v>1.8660000000000001</c:v>
                </c:pt>
                <c:pt idx="20">
                  <c:v>1.8580000000000001</c:v>
                </c:pt>
                <c:pt idx="21">
                  <c:v>1.8320000000000001</c:v>
                </c:pt>
                <c:pt idx="22">
                  <c:v>1.847</c:v>
                </c:pt>
                <c:pt idx="23">
                  <c:v>1.861</c:v>
                </c:pt>
                <c:pt idx="24">
                  <c:v>1.76</c:v>
                </c:pt>
                <c:pt idx="25">
                  <c:v>1.7310000000000001</c:v>
                </c:pt>
                <c:pt idx="26">
                  <c:v>1.69</c:v>
                </c:pt>
                <c:pt idx="27">
                  <c:v>1.6870000000000001</c:v>
                </c:pt>
                <c:pt idx="28">
                  <c:v>1.732</c:v>
                </c:pt>
                <c:pt idx="29">
                  <c:v>1.766</c:v>
                </c:pt>
                <c:pt idx="30">
                  <c:v>1.766</c:v>
                </c:pt>
                <c:pt idx="31">
                  <c:v>1.7310000000000001</c:v>
                </c:pt>
                <c:pt idx="32">
                  <c:v>1.76</c:v>
                </c:pt>
                <c:pt idx="33">
                  <c:v>1.752</c:v>
                </c:pt>
                <c:pt idx="34">
                  <c:v>1.7130000000000001</c:v>
                </c:pt>
                <c:pt idx="35">
                  <c:v>1.6619999999999999</c:v>
                </c:pt>
                <c:pt idx="36">
                  <c:v>1.708</c:v>
                </c:pt>
                <c:pt idx="37">
                  <c:v>1.7210000000000001</c:v>
                </c:pt>
                <c:pt idx="38">
                  <c:v>1.7230000000000001</c:v>
                </c:pt>
                <c:pt idx="39">
                  <c:v>1.706</c:v>
                </c:pt>
                <c:pt idx="40">
                  <c:v>1.71</c:v>
                </c:pt>
                <c:pt idx="41">
                  <c:v>1.758</c:v>
                </c:pt>
                <c:pt idx="42">
                  <c:v>1.7829999999999999</c:v>
                </c:pt>
                <c:pt idx="43">
                  <c:v>1.7490000000000001</c:v>
                </c:pt>
                <c:pt idx="44">
                  <c:v>1.6830000000000001</c:v>
                </c:pt>
                <c:pt idx="45">
                  <c:v>1.69</c:v>
                </c:pt>
                <c:pt idx="46">
                  <c:v>1.6559999999999999</c:v>
                </c:pt>
                <c:pt idx="47">
                  <c:v>1.661</c:v>
                </c:pt>
                <c:pt idx="48">
                  <c:v>1.6619999999999999</c:v>
                </c:pt>
                <c:pt idx="49">
                  <c:v>1.5980000000000001</c:v>
                </c:pt>
                <c:pt idx="50">
                  <c:v>1.5880000000000001</c:v>
                </c:pt>
                <c:pt idx="51">
                  <c:v>1.601</c:v>
                </c:pt>
                <c:pt idx="52">
                  <c:v>1.609</c:v>
                </c:pt>
                <c:pt idx="53">
                  <c:v>1.5609999999999999</c:v>
                </c:pt>
                <c:pt idx="54">
                  <c:v>1.5509999999999999</c:v>
                </c:pt>
                <c:pt idx="55">
                  <c:v>1.5209999999999999</c:v>
                </c:pt>
                <c:pt idx="56">
                  <c:v>1.4890000000000001</c:v>
                </c:pt>
                <c:pt idx="57">
                  <c:v>1.45</c:v>
                </c:pt>
                <c:pt idx="58">
                  <c:v>1.4850000000000001</c:v>
                </c:pt>
                <c:pt idx="59">
                  <c:v>1.4350000000000001</c:v>
                </c:pt>
                <c:pt idx="60">
                  <c:v>1.4079999999999999</c:v>
                </c:pt>
                <c:pt idx="61">
                  <c:v>1.4350000000000001</c:v>
                </c:pt>
                <c:pt idx="62">
                  <c:v>1.458</c:v>
                </c:pt>
                <c:pt idx="63">
                  <c:v>1.429</c:v>
                </c:pt>
                <c:pt idx="64">
                  <c:v>1.4650000000000001</c:v>
                </c:pt>
                <c:pt idx="65">
                  <c:v>1.5049999999999999</c:v>
                </c:pt>
                <c:pt idx="66">
                  <c:v>1.52</c:v>
                </c:pt>
                <c:pt idx="67">
                  <c:v>1.494</c:v>
                </c:pt>
                <c:pt idx="68">
                  <c:v>1.5009999999999999</c:v>
                </c:pt>
                <c:pt idx="69">
                  <c:v>1.502</c:v>
                </c:pt>
                <c:pt idx="70">
                  <c:v>1.5</c:v>
                </c:pt>
                <c:pt idx="71">
                  <c:v>1.514</c:v>
                </c:pt>
                <c:pt idx="72">
                  <c:v>1.5609999999999999</c:v>
                </c:pt>
                <c:pt idx="73">
                  <c:v>1.5369999999999999</c:v>
                </c:pt>
                <c:pt idx="74">
                  <c:v>1.5509999999999999</c:v>
                </c:pt>
                <c:pt idx="75">
                  <c:v>1.5569999999999999</c:v>
                </c:pt>
                <c:pt idx="76">
                  <c:v>1.5149999999999999</c:v>
                </c:pt>
                <c:pt idx="77">
                  <c:v>1.375</c:v>
                </c:pt>
                <c:pt idx="78">
                  <c:v>1.3919999999999999</c:v>
                </c:pt>
                <c:pt idx="79">
                  <c:v>1.3959999999999999</c:v>
                </c:pt>
                <c:pt idx="80">
                  <c:v>1.379</c:v>
                </c:pt>
                <c:pt idx="81">
                  <c:v>1.375</c:v>
                </c:pt>
                <c:pt idx="82">
                  <c:v>1.385</c:v>
                </c:pt>
                <c:pt idx="83">
                  <c:v>1.385</c:v>
                </c:pt>
                <c:pt idx="84">
                  <c:v>1.339</c:v>
                </c:pt>
                <c:pt idx="85">
                  <c:v>1.4</c:v>
                </c:pt>
                <c:pt idx="86">
                  <c:v>1.359</c:v>
                </c:pt>
                <c:pt idx="87">
                  <c:v>1.339</c:v>
                </c:pt>
                <c:pt idx="88">
                  <c:v>1.3480000000000001</c:v>
                </c:pt>
                <c:pt idx="89">
                  <c:v>1.3380000000000001</c:v>
                </c:pt>
                <c:pt idx="90">
                  <c:v>1.3140000000000001</c:v>
                </c:pt>
                <c:pt idx="91">
                  <c:v>1.3160000000000001</c:v>
                </c:pt>
                <c:pt idx="92">
                  <c:v>1.268</c:v>
                </c:pt>
                <c:pt idx="93">
                  <c:v>1.272</c:v>
                </c:pt>
                <c:pt idx="94">
                  <c:v>1.32</c:v>
                </c:pt>
                <c:pt idx="95">
                  <c:v>1.2689999999999999</c:v>
                </c:pt>
                <c:pt idx="96">
                  <c:v>1.27</c:v>
                </c:pt>
                <c:pt idx="97">
                  <c:v>1.2310000000000001</c:v>
                </c:pt>
                <c:pt idx="98">
                  <c:v>1.1850000000000001</c:v>
                </c:pt>
                <c:pt idx="99">
                  <c:v>1.216</c:v>
                </c:pt>
                <c:pt idx="100">
                  <c:v>1.206</c:v>
                </c:pt>
                <c:pt idx="101">
                  <c:v>1.175</c:v>
                </c:pt>
                <c:pt idx="102">
                  <c:v>1.2130000000000001</c:v>
                </c:pt>
                <c:pt idx="103">
                  <c:v>1.167</c:v>
                </c:pt>
                <c:pt idx="104">
                  <c:v>1.196</c:v>
                </c:pt>
                <c:pt idx="105">
                  <c:v>1.1890000000000001</c:v>
                </c:pt>
                <c:pt idx="106">
                  <c:v>1.155</c:v>
                </c:pt>
                <c:pt idx="107">
                  <c:v>1.131</c:v>
                </c:pt>
                <c:pt idx="108">
                  <c:v>1.1379999999999999</c:v>
                </c:pt>
                <c:pt idx="109">
                  <c:v>1.1240000000000001</c:v>
                </c:pt>
                <c:pt idx="110">
                  <c:v>1.1000000000000001</c:v>
                </c:pt>
                <c:pt idx="111">
                  <c:v>1.0649999999999999</c:v>
                </c:pt>
                <c:pt idx="112">
                  <c:v>1.0529999999999999</c:v>
                </c:pt>
                <c:pt idx="113">
                  <c:v>1.0840000000000001</c:v>
                </c:pt>
                <c:pt idx="114">
                  <c:v>1.0649999999999999</c:v>
                </c:pt>
                <c:pt idx="115">
                  <c:v>1.03</c:v>
                </c:pt>
                <c:pt idx="116">
                  <c:v>0.98299999999999998</c:v>
                </c:pt>
                <c:pt idx="117">
                  <c:v>0.96</c:v>
                </c:pt>
                <c:pt idx="118">
                  <c:v>0.97099999999999997</c:v>
                </c:pt>
                <c:pt idx="119">
                  <c:v>0.96199999999999997</c:v>
                </c:pt>
                <c:pt idx="120">
                  <c:v>0.98299999999999998</c:v>
                </c:pt>
                <c:pt idx="121">
                  <c:v>1.0369999999999999</c:v>
                </c:pt>
                <c:pt idx="122">
                  <c:v>1.0269999999999999</c:v>
                </c:pt>
                <c:pt idx="123">
                  <c:v>1.0489999999999999</c:v>
                </c:pt>
                <c:pt idx="124">
                  <c:v>1.04</c:v>
                </c:pt>
                <c:pt idx="125">
                  <c:v>0.995</c:v>
                </c:pt>
                <c:pt idx="126">
                  <c:v>1.0069999999999999</c:v>
                </c:pt>
                <c:pt idx="127">
                  <c:v>1</c:v>
                </c:pt>
                <c:pt idx="128">
                  <c:v>1.0209999999999999</c:v>
                </c:pt>
                <c:pt idx="129">
                  <c:v>1.014</c:v>
                </c:pt>
                <c:pt idx="130">
                  <c:v>1.04</c:v>
                </c:pt>
                <c:pt idx="131">
                  <c:v>1.008</c:v>
                </c:pt>
                <c:pt idx="132">
                  <c:v>1.071</c:v>
                </c:pt>
                <c:pt idx="133">
                  <c:v>1.0880000000000001</c:v>
                </c:pt>
                <c:pt idx="134">
                  <c:v>1.0489999999999999</c:v>
                </c:pt>
                <c:pt idx="135">
                  <c:v>1.0349999999999999</c:v>
                </c:pt>
                <c:pt idx="136">
                  <c:v>1.016</c:v>
                </c:pt>
                <c:pt idx="137">
                  <c:v>1.0249999999999999</c:v>
                </c:pt>
                <c:pt idx="138">
                  <c:v>1.0149999999999999</c:v>
                </c:pt>
                <c:pt idx="139">
                  <c:v>0.998</c:v>
                </c:pt>
                <c:pt idx="140">
                  <c:v>0.96799999999999997</c:v>
                </c:pt>
                <c:pt idx="141">
                  <c:v>0.91800000000000004</c:v>
                </c:pt>
                <c:pt idx="142">
                  <c:v>0.91500000000000004</c:v>
                </c:pt>
                <c:pt idx="143">
                  <c:v>0.89400000000000002</c:v>
                </c:pt>
                <c:pt idx="144">
                  <c:v>0.88200000000000001</c:v>
                </c:pt>
                <c:pt idx="145">
                  <c:v>0.86399999999999999</c:v>
                </c:pt>
                <c:pt idx="146">
                  <c:v>0.89400000000000002</c:v>
                </c:pt>
                <c:pt idx="147">
                  <c:v>0.79600000000000004</c:v>
                </c:pt>
                <c:pt idx="148">
                  <c:v>0.76</c:v>
                </c:pt>
                <c:pt idx="149">
                  <c:v>0.748</c:v>
                </c:pt>
                <c:pt idx="150">
                  <c:v>0.68700000000000006</c:v>
                </c:pt>
                <c:pt idx="151">
                  <c:v>0.71399999999999997</c:v>
                </c:pt>
                <c:pt idx="152">
                  <c:v>0.68799999999999994</c:v>
                </c:pt>
                <c:pt idx="153">
                  <c:v>0.68899999999999995</c:v>
                </c:pt>
                <c:pt idx="154">
                  <c:v>0.68100000000000005</c:v>
                </c:pt>
                <c:pt idx="155">
                  <c:v>0.68899999999999995</c:v>
                </c:pt>
                <c:pt idx="156">
                  <c:v>0.67400000000000004</c:v>
                </c:pt>
                <c:pt idx="157">
                  <c:v>0.67600000000000005</c:v>
                </c:pt>
                <c:pt idx="158">
                  <c:v>0.69</c:v>
                </c:pt>
                <c:pt idx="159">
                  <c:v>0.70199999999999996</c:v>
                </c:pt>
                <c:pt idx="160">
                  <c:v>0.69699999999999995</c:v>
                </c:pt>
                <c:pt idx="161">
                  <c:v>0.69499999999999995</c:v>
                </c:pt>
                <c:pt idx="162">
                  <c:v>0.73199999999999998</c:v>
                </c:pt>
                <c:pt idx="163">
                  <c:v>0.68200000000000005</c:v>
                </c:pt>
                <c:pt idx="164">
                  <c:v>0.71</c:v>
                </c:pt>
                <c:pt idx="165">
                  <c:v>0.69499999999999995</c:v>
                </c:pt>
                <c:pt idx="166">
                  <c:v>0.68799999999999994</c:v>
                </c:pt>
                <c:pt idx="167">
                  <c:v>0.68899999999999995</c:v>
                </c:pt>
                <c:pt idx="168">
                  <c:v>0.71199999999999997</c:v>
                </c:pt>
                <c:pt idx="169">
                  <c:v>0.72099999999999997</c:v>
                </c:pt>
                <c:pt idx="170">
                  <c:v>0.73799999999999999</c:v>
                </c:pt>
                <c:pt idx="171">
                  <c:v>0.76800000000000002</c:v>
                </c:pt>
                <c:pt idx="172">
                  <c:v>0.84699999999999998</c:v>
                </c:pt>
                <c:pt idx="173">
                  <c:v>0.82699999999999996</c:v>
                </c:pt>
                <c:pt idx="174">
                  <c:v>0.85499999999999998</c:v>
                </c:pt>
                <c:pt idx="175">
                  <c:v>0.89600000000000002</c:v>
                </c:pt>
                <c:pt idx="176">
                  <c:v>0.90200000000000002</c:v>
                </c:pt>
                <c:pt idx="177">
                  <c:v>0.92100000000000004</c:v>
                </c:pt>
                <c:pt idx="178">
                  <c:v>0.94699999999999995</c:v>
                </c:pt>
                <c:pt idx="179">
                  <c:v>0.88700000000000001</c:v>
                </c:pt>
                <c:pt idx="180">
                  <c:v>0.88700000000000001</c:v>
                </c:pt>
                <c:pt idx="181">
                  <c:v>0.81200000000000006</c:v>
                </c:pt>
                <c:pt idx="182">
                  <c:v>0.77700000000000002</c:v>
                </c:pt>
                <c:pt idx="183">
                  <c:v>0.77</c:v>
                </c:pt>
                <c:pt idx="184">
                  <c:v>0.752</c:v>
                </c:pt>
                <c:pt idx="185">
                  <c:v>0.73699999999999999</c:v>
                </c:pt>
                <c:pt idx="186">
                  <c:v>0.73599999999999999</c:v>
                </c:pt>
                <c:pt idx="187">
                  <c:v>0.73599999999999999</c:v>
                </c:pt>
                <c:pt idx="188">
                  <c:v>0.77400000000000002</c:v>
                </c:pt>
                <c:pt idx="189">
                  <c:v>0.70599999999999996</c:v>
                </c:pt>
                <c:pt idx="190">
                  <c:v>0.68</c:v>
                </c:pt>
                <c:pt idx="191">
                  <c:v>0.65800000000000003</c:v>
                </c:pt>
                <c:pt idx="192">
                  <c:v>0.64300000000000002</c:v>
                </c:pt>
                <c:pt idx="193">
                  <c:v>0.64800000000000002</c:v>
                </c:pt>
                <c:pt idx="194">
                  <c:v>0.64</c:v>
                </c:pt>
                <c:pt idx="195">
                  <c:v>0.63900000000000001</c:v>
                </c:pt>
                <c:pt idx="196">
                  <c:v>0.73499999999999999</c:v>
                </c:pt>
                <c:pt idx="197">
                  <c:v>0.76300000000000001</c:v>
                </c:pt>
                <c:pt idx="198">
                  <c:v>0.745</c:v>
                </c:pt>
                <c:pt idx="199">
                  <c:v>0.76900000000000002</c:v>
                </c:pt>
                <c:pt idx="200">
                  <c:v>0.81299999999999994</c:v>
                </c:pt>
                <c:pt idx="201">
                  <c:v>0.82799999999999996</c:v>
                </c:pt>
                <c:pt idx="202">
                  <c:v>0.85499999999999998</c:v>
                </c:pt>
                <c:pt idx="203">
                  <c:v>0.86499999999999999</c:v>
                </c:pt>
                <c:pt idx="204">
                  <c:v>0.82199999999999995</c:v>
                </c:pt>
                <c:pt idx="205">
                  <c:v>0.80400000000000005</c:v>
                </c:pt>
                <c:pt idx="206">
                  <c:v>0.78700000000000003</c:v>
                </c:pt>
                <c:pt idx="207">
                  <c:v>0.81399999999999995</c:v>
                </c:pt>
                <c:pt idx="208">
                  <c:v>0.89500000000000002</c:v>
                </c:pt>
                <c:pt idx="209">
                  <c:v>0.85899999999999999</c:v>
                </c:pt>
                <c:pt idx="210">
                  <c:v>0.88100000000000001</c:v>
                </c:pt>
                <c:pt idx="211">
                  <c:v>0.85299999999999998</c:v>
                </c:pt>
                <c:pt idx="212">
                  <c:v>0.90300000000000002</c:v>
                </c:pt>
                <c:pt idx="213">
                  <c:v>0.93500000000000005</c:v>
                </c:pt>
                <c:pt idx="214">
                  <c:v>0.97199999999999998</c:v>
                </c:pt>
                <c:pt idx="215">
                  <c:v>0.93300000000000005</c:v>
                </c:pt>
                <c:pt idx="216">
                  <c:v>0.98</c:v>
                </c:pt>
                <c:pt idx="217">
                  <c:v>0.96899999999999997</c:v>
                </c:pt>
                <c:pt idx="218">
                  <c:v>0.94899999999999995</c:v>
                </c:pt>
                <c:pt idx="219">
                  <c:v>0.93</c:v>
                </c:pt>
                <c:pt idx="220">
                  <c:v>0.84899999999999998</c:v>
                </c:pt>
                <c:pt idx="221">
                  <c:v>0.85199999999999998</c:v>
                </c:pt>
                <c:pt idx="222">
                  <c:v>0.85399999999999998</c:v>
                </c:pt>
                <c:pt idx="223">
                  <c:v>0.82199999999999995</c:v>
                </c:pt>
                <c:pt idx="224">
                  <c:v>0.79700000000000004</c:v>
                </c:pt>
                <c:pt idx="225">
                  <c:v>0.80200000000000005</c:v>
                </c:pt>
                <c:pt idx="226">
                  <c:v>0.81899999999999995</c:v>
                </c:pt>
                <c:pt idx="227">
                  <c:v>0.81699999999999995</c:v>
                </c:pt>
                <c:pt idx="228">
                  <c:v>0.81</c:v>
                </c:pt>
                <c:pt idx="229">
                  <c:v>0.73</c:v>
                </c:pt>
                <c:pt idx="230">
                  <c:v>0.70699999999999996</c:v>
                </c:pt>
                <c:pt idx="231">
                  <c:v>0.73499999999999999</c:v>
                </c:pt>
                <c:pt idx="232">
                  <c:v>0.77900000000000003</c:v>
                </c:pt>
                <c:pt idx="233">
                  <c:v>0.86099999999999999</c:v>
                </c:pt>
                <c:pt idx="234">
                  <c:v>0.76100000000000001</c:v>
                </c:pt>
                <c:pt idx="235">
                  <c:v>0.77100000000000002</c:v>
                </c:pt>
                <c:pt idx="236">
                  <c:v>0.79400000000000004</c:v>
                </c:pt>
                <c:pt idx="237">
                  <c:v>0.81</c:v>
                </c:pt>
                <c:pt idx="238">
                  <c:v>0.78200000000000003</c:v>
                </c:pt>
                <c:pt idx="239">
                  <c:v>0.81</c:v>
                </c:pt>
                <c:pt idx="240">
                  <c:v>0.79700000000000004</c:v>
                </c:pt>
                <c:pt idx="241">
                  <c:v>0.9</c:v>
                </c:pt>
                <c:pt idx="242">
                  <c:v>0.84199999999999997</c:v>
                </c:pt>
                <c:pt idx="243">
                  <c:v>0.82199999999999995</c:v>
                </c:pt>
                <c:pt idx="244">
                  <c:v>0.85699999999999998</c:v>
                </c:pt>
                <c:pt idx="245">
                  <c:v>0.92700000000000005</c:v>
                </c:pt>
                <c:pt idx="246">
                  <c:v>0.96499999999999997</c:v>
                </c:pt>
                <c:pt idx="247">
                  <c:v>0.98099999999999998</c:v>
                </c:pt>
                <c:pt idx="248">
                  <c:v>0.99299999999999999</c:v>
                </c:pt>
                <c:pt idx="249">
                  <c:v>1.0029999999999999</c:v>
                </c:pt>
                <c:pt idx="250">
                  <c:v>0.99399999999999999</c:v>
                </c:pt>
                <c:pt idx="251">
                  <c:v>1.026</c:v>
                </c:pt>
                <c:pt idx="252">
                  <c:v>1</c:v>
                </c:pt>
                <c:pt idx="253">
                  <c:v>0.93100000000000005</c:v>
                </c:pt>
                <c:pt idx="254">
                  <c:v>0.89200000000000002</c:v>
                </c:pt>
                <c:pt idx="255">
                  <c:v>0.89300000000000002</c:v>
                </c:pt>
                <c:pt idx="256">
                  <c:v>0.86699999999999999</c:v>
                </c:pt>
                <c:pt idx="257">
                  <c:v>0.90500000000000003</c:v>
                </c:pt>
                <c:pt idx="258">
                  <c:v>0.91400000000000003</c:v>
                </c:pt>
                <c:pt idx="259">
                  <c:v>0.89400000000000002</c:v>
                </c:pt>
                <c:pt idx="260">
                  <c:v>0.92500000000000004</c:v>
                </c:pt>
                <c:pt idx="261">
                  <c:v>0.90200000000000002</c:v>
                </c:pt>
                <c:pt idx="262">
                  <c:v>0.876</c:v>
                </c:pt>
                <c:pt idx="263">
                  <c:v>0.86499999999999999</c:v>
                </c:pt>
                <c:pt idx="264">
                  <c:v>0.85899999999999999</c:v>
                </c:pt>
                <c:pt idx="265">
                  <c:v>0.84799999999999998</c:v>
                </c:pt>
                <c:pt idx="266">
                  <c:v>0.80800000000000005</c:v>
                </c:pt>
                <c:pt idx="267">
                  <c:v>0.82599999999999996</c:v>
                </c:pt>
                <c:pt idx="268">
                  <c:v>0.82599999999999996</c:v>
                </c:pt>
                <c:pt idx="269">
                  <c:v>0.70899999999999996</c:v>
                </c:pt>
                <c:pt idx="270">
                  <c:v>0.76300000000000001</c:v>
                </c:pt>
                <c:pt idx="271">
                  <c:v>0.71099999999999997</c:v>
                </c:pt>
                <c:pt idx="272">
                  <c:v>0.70299999999999996</c:v>
                </c:pt>
                <c:pt idx="273">
                  <c:v>0.67</c:v>
                </c:pt>
                <c:pt idx="274">
                  <c:v>0.69099999999999995</c:v>
                </c:pt>
                <c:pt idx="275">
                  <c:v>0.79100000000000004</c:v>
                </c:pt>
                <c:pt idx="276">
                  <c:v>0.84199999999999997</c:v>
                </c:pt>
                <c:pt idx="277">
                  <c:v>0.79500000000000004</c:v>
                </c:pt>
                <c:pt idx="278">
                  <c:v>0.76900000000000002</c:v>
                </c:pt>
                <c:pt idx="279">
                  <c:v>0.77900000000000003</c:v>
                </c:pt>
                <c:pt idx="280">
                  <c:v>0.80800000000000005</c:v>
                </c:pt>
                <c:pt idx="281">
                  <c:v>0.79600000000000004</c:v>
                </c:pt>
                <c:pt idx="282">
                  <c:v>0.79100000000000004</c:v>
                </c:pt>
                <c:pt idx="283">
                  <c:v>0.80100000000000005</c:v>
                </c:pt>
                <c:pt idx="284">
                  <c:v>0.78500000000000003</c:v>
                </c:pt>
                <c:pt idx="285">
                  <c:v>0.78200000000000003</c:v>
                </c:pt>
                <c:pt idx="286">
                  <c:v>0.74299999999999999</c:v>
                </c:pt>
                <c:pt idx="287">
                  <c:v>0.69699999999999995</c:v>
                </c:pt>
                <c:pt idx="288">
                  <c:v>0.68</c:v>
                </c:pt>
                <c:pt idx="289">
                  <c:v>0.68799999999999994</c:v>
                </c:pt>
                <c:pt idx="290">
                  <c:v>0.66400000000000003</c:v>
                </c:pt>
                <c:pt idx="291">
                  <c:v>0.61499999999999999</c:v>
                </c:pt>
                <c:pt idx="292">
                  <c:v>0.56499999999999995</c:v>
                </c:pt>
                <c:pt idx="293">
                  <c:v>0.52700000000000002</c:v>
                </c:pt>
                <c:pt idx="294">
                  <c:v>0.52200000000000002</c:v>
                </c:pt>
                <c:pt idx="295">
                  <c:v>0.45100000000000001</c:v>
                </c:pt>
                <c:pt idx="296">
                  <c:v>0.495</c:v>
                </c:pt>
                <c:pt idx="297">
                  <c:v>0.434</c:v>
                </c:pt>
                <c:pt idx="298">
                  <c:v>0.435</c:v>
                </c:pt>
                <c:pt idx="299">
                  <c:v>0.54700000000000004</c:v>
                </c:pt>
                <c:pt idx="300">
                  <c:v>0.46700000000000003</c:v>
                </c:pt>
                <c:pt idx="301">
                  <c:v>0.49399999999999999</c:v>
                </c:pt>
                <c:pt idx="302">
                  <c:v>0.64800000000000002</c:v>
                </c:pt>
                <c:pt idx="303">
                  <c:v>0.56399999999999995</c:v>
                </c:pt>
                <c:pt idx="304">
                  <c:v>0.623</c:v>
                </c:pt>
                <c:pt idx="305">
                  <c:v>0.64100000000000001</c:v>
                </c:pt>
                <c:pt idx="306">
                  <c:v>0.56799999999999995</c:v>
                </c:pt>
                <c:pt idx="307">
                  <c:v>0.48399999999999999</c:v>
                </c:pt>
                <c:pt idx="308">
                  <c:v>0.45</c:v>
                </c:pt>
                <c:pt idx="309">
                  <c:v>0.45</c:v>
                </c:pt>
                <c:pt idx="310">
                  <c:v>0.46100000000000002</c:v>
                </c:pt>
                <c:pt idx="311">
                  <c:v>0.45300000000000001</c:v>
                </c:pt>
                <c:pt idx="312">
                  <c:v>0.45300000000000001</c:v>
                </c:pt>
                <c:pt idx="313">
                  <c:v>0.41899999999999998</c:v>
                </c:pt>
                <c:pt idx="314">
                  <c:v>0.41</c:v>
                </c:pt>
                <c:pt idx="315">
                  <c:v>0.35699999999999998</c:v>
                </c:pt>
                <c:pt idx="316">
                  <c:v>0.4</c:v>
                </c:pt>
                <c:pt idx="317">
                  <c:v>0.38900000000000001</c:v>
                </c:pt>
                <c:pt idx="318">
                  <c:v>0.39900000000000002</c:v>
                </c:pt>
                <c:pt idx="319">
                  <c:v>0.42299999999999999</c:v>
                </c:pt>
                <c:pt idx="320">
                  <c:v>0.42299999999999999</c:v>
                </c:pt>
                <c:pt idx="321">
                  <c:v>0.44400000000000001</c:v>
                </c:pt>
                <c:pt idx="322">
                  <c:v>0.443</c:v>
                </c:pt>
                <c:pt idx="323">
                  <c:v>0.44800000000000001</c:v>
                </c:pt>
                <c:pt idx="324">
                  <c:v>0.41899999999999998</c:v>
                </c:pt>
                <c:pt idx="325">
                  <c:v>0.42199999999999999</c:v>
                </c:pt>
                <c:pt idx="326">
                  <c:v>0.42199999999999999</c:v>
                </c:pt>
                <c:pt idx="327">
                  <c:v>0.42599999999999999</c:v>
                </c:pt>
                <c:pt idx="328">
                  <c:v>0.41399999999999998</c:v>
                </c:pt>
                <c:pt idx="329">
                  <c:v>0.42899999999999999</c:v>
                </c:pt>
                <c:pt idx="330">
                  <c:v>0.434</c:v>
                </c:pt>
                <c:pt idx="331">
                  <c:v>0.443</c:v>
                </c:pt>
                <c:pt idx="332">
                  <c:v>0.437</c:v>
                </c:pt>
                <c:pt idx="333">
                  <c:v>0.43</c:v>
                </c:pt>
                <c:pt idx="334">
                  <c:v>0.41599999999999998</c:v>
                </c:pt>
                <c:pt idx="335">
                  <c:v>0.40600000000000003</c:v>
                </c:pt>
                <c:pt idx="336">
                  <c:v>0.38500000000000001</c:v>
                </c:pt>
                <c:pt idx="337">
                  <c:v>0.39</c:v>
                </c:pt>
                <c:pt idx="338">
                  <c:v>0.40400000000000003</c:v>
                </c:pt>
                <c:pt idx="339">
                  <c:v>0.40400000000000003</c:v>
                </c:pt>
                <c:pt idx="340">
                  <c:v>0.38400000000000001</c:v>
                </c:pt>
                <c:pt idx="341">
                  <c:v>0.39500000000000002</c:v>
                </c:pt>
                <c:pt idx="342">
                  <c:v>0.39400000000000002</c:v>
                </c:pt>
                <c:pt idx="343">
                  <c:v>0.39200000000000002</c:v>
                </c:pt>
                <c:pt idx="344">
                  <c:v>0.374</c:v>
                </c:pt>
                <c:pt idx="345">
                  <c:v>0.38500000000000001</c:v>
                </c:pt>
                <c:pt idx="346">
                  <c:v>0.38400000000000001</c:v>
                </c:pt>
                <c:pt idx="347">
                  <c:v>0.40899999999999997</c:v>
                </c:pt>
                <c:pt idx="348">
                  <c:v>0.40600000000000003</c:v>
                </c:pt>
                <c:pt idx="349">
                  <c:v>0.39200000000000002</c:v>
                </c:pt>
                <c:pt idx="350">
                  <c:v>0.39</c:v>
                </c:pt>
                <c:pt idx="351">
                  <c:v>0.39500000000000002</c:v>
                </c:pt>
                <c:pt idx="352">
                  <c:v>0.40300000000000002</c:v>
                </c:pt>
                <c:pt idx="353">
                  <c:v>0.39900000000000002</c:v>
                </c:pt>
                <c:pt idx="354">
                  <c:v>0.40300000000000002</c:v>
                </c:pt>
                <c:pt idx="355">
                  <c:v>0.40200000000000002</c:v>
                </c:pt>
                <c:pt idx="356">
                  <c:v>0.39600000000000002</c:v>
                </c:pt>
                <c:pt idx="357">
                  <c:v>0.39400000000000002</c:v>
                </c:pt>
                <c:pt idx="358">
                  <c:v>0.41</c:v>
                </c:pt>
                <c:pt idx="359">
                  <c:v>0.42799999999999999</c:v>
                </c:pt>
                <c:pt idx="360">
                  <c:v>0.441</c:v>
                </c:pt>
                <c:pt idx="361">
                  <c:v>0.42599999999999999</c:v>
                </c:pt>
                <c:pt idx="362">
                  <c:v>0.42199999999999999</c:v>
                </c:pt>
                <c:pt idx="363">
                  <c:v>0.38600000000000001</c:v>
                </c:pt>
                <c:pt idx="364">
                  <c:v>0.38500000000000001</c:v>
                </c:pt>
                <c:pt idx="365">
                  <c:v>0.377</c:v>
                </c:pt>
                <c:pt idx="366">
                  <c:v>0.39600000000000002</c:v>
                </c:pt>
                <c:pt idx="367">
                  <c:v>0.39900000000000002</c:v>
                </c:pt>
                <c:pt idx="368">
                  <c:v>0.38900000000000001</c:v>
                </c:pt>
                <c:pt idx="369">
                  <c:v>0.39100000000000001</c:v>
                </c:pt>
                <c:pt idx="370">
                  <c:v>0.39400000000000002</c:v>
                </c:pt>
                <c:pt idx="371">
                  <c:v>0.40699999999999997</c:v>
                </c:pt>
                <c:pt idx="372">
                  <c:v>0.41499999999999998</c:v>
                </c:pt>
                <c:pt idx="373">
                  <c:v>0.40400000000000003</c:v>
                </c:pt>
                <c:pt idx="374">
                  <c:v>0.39900000000000002</c:v>
                </c:pt>
                <c:pt idx="375">
                  <c:v>0.40600000000000003</c:v>
                </c:pt>
                <c:pt idx="376">
                  <c:v>0.40600000000000003</c:v>
                </c:pt>
                <c:pt idx="377">
                  <c:v>0.42</c:v>
                </c:pt>
                <c:pt idx="378">
                  <c:v>0.41399999999999998</c:v>
                </c:pt>
                <c:pt idx="379">
                  <c:v>0.41499999999999998</c:v>
                </c:pt>
                <c:pt idx="380">
                  <c:v>0.42399999999999999</c:v>
                </c:pt>
                <c:pt idx="381">
                  <c:v>0.41099999999999998</c:v>
                </c:pt>
                <c:pt idx="382">
                  <c:v>0.40600000000000003</c:v>
                </c:pt>
                <c:pt idx="383">
                  <c:v>0.41899999999999998</c:v>
                </c:pt>
                <c:pt idx="384">
                  <c:v>0.41299999999999998</c:v>
                </c:pt>
                <c:pt idx="385">
                  <c:v>0.435</c:v>
                </c:pt>
                <c:pt idx="386">
                  <c:v>0.44</c:v>
                </c:pt>
                <c:pt idx="387">
                  <c:v>0.42899999999999999</c:v>
                </c:pt>
                <c:pt idx="388">
                  <c:v>0.43099999999999999</c:v>
                </c:pt>
                <c:pt idx="389">
                  <c:v>0.42499999999999999</c:v>
                </c:pt>
                <c:pt idx="390">
                  <c:v>0.432</c:v>
                </c:pt>
                <c:pt idx="391">
                  <c:v>0.42899999999999999</c:v>
                </c:pt>
                <c:pt idx="392">
                  <c:v>0.437</c:v>
                </c:pt>
                <c:pt idx="393">
                  <c:v>0.42899999999999999</c:v>
                </c:pt>
                <c:pt idx="394">
                  <c:v>0.42499999999999999</c:v>
                </c:pt>
                <c:pt idx="395">
                  <c:v>0.432</c:v>
                </c:pt>
                <c:pt idx="396">
                  <c:v>0.441</c:v>
                </c:pt>
                <c:pt idx="397">
                  <c:v>0.42699999999999999</c:v>
                </c:pt>
                <c:pt idx="398">
                  <c:v>0.42</c:v>
                </c:pt>
                <c:pt idx="399">
                  <c:v>0.41</c:v>
                </c:pt>
                <c:pt idx="400">
                  <c:v>0.42199999999999999</c:v>
                </c:pt>
                <c:pt idx="401">
                  <c:v>0.39700000000000002</c:v>
                </c:pt>
                <c:pt idx="402">
                  <c:v>0.39300000000000002</c:v>
                </c:pt>
                <c:pt idx="403">
                  <c:v>0.40400000000000003</c:v>
                </c:pt>
                <c:pt idx="404">
                  <c:v>0.39700000000000002</c:v>
                </c:pt>
                <c:pt idx="405">
                  <c:v>0.40600000000000003</c:v>
                </c:pt>
                <c:pt idx="406">
                  <c:v>0.41199999999999998</c:v>
                </c:pt>
                <c:pt idx="407">
                  <c:v>0.42599999999999999</c:v>
                </c:pt>
                <c:pt idx="408">
                  <c:v>0.42499999999999999</c:v>
                </c:pt>
                <c:pt idx="409">
                  <c:v>0.443</c:v>
                </c:pt>
                <c:pt idx="410">
                  <c:v>0.437</c:v>
                </c:pt>
                <c:pt idx="411">
                  <c:v>0.42699999999999999</c:v>
                </c:pt>
                <c:pt idx="412">
                  <c:v>0.42399999999999999</c:v>
                </c:pt>
                <c:pt idx="413">
                  <c:v>0.42299999999999999</c:v>
                </c:pt>
                <c:pt idx="414">
                  <c:v>0.42599999999999999</c:v>
                </c:pt>
                <c:pt idx="415">
                  <c:v>0.42299999999999999</c:v>
                </c:pt>
                <c:pt idx="416">
                  <c:v>0.43</c:v>
                </c:pt>
                <c:pt idx="417">
                  <c:v>0.44800000000000001</c:v>
                </c:pt>
                <c:pt idx="418">
                  <c:v>0.436</c:v>
                </c:pt>
                <c:pt idx="419">
                  <c:v>0.46500000000000002</c:v>
                </c:pt>
                <c:pt idx="420">
                  <c:v>0.45900000000000002</c:v>
                </c:pt>
                <c:pt idx="421">
                  <c:v>0.45300000000000001</c:v>
                </c:pt>
                <c:pt idx="422">
                  <c:v>0.44400000000000001</c:v>
                </c:pt>
                <c:pt idx="423">
                  <c:v>0.43</c:v>
                </c:pt>
                <c:pt idx="424">
                  <c:v>0.42199999999999999</c:v>
                </c:pt>
                <c:pt idx="425">
                  <c:v>0.443</c:v>
                </c:pt>
                <c:pt idx="426">
                  <c:v>0.44500000000000001</c:v>
                </c:pt>
                <c:pt idx="427">
                  <c:v>0.42399999999999999</c:v>
                </c:pt>
                <c:pt idx="428">
                  <c:v>0.43</c:v>
                </c:pt>
                <c:pt idx="429">
                  <c:v>0.42499999999999999</c:v>
                </c:pt>
                <c:pt idx="430">
                  <c:v>0.39800000000000002</c:v>
                </c:pt>
                <c:pt idx="431">
                  <c:v>0.38400000000000001</c:v>
                </c:pt>
                <c:pt idx="432">
                  <c:v>0.379</c:v>
                </c:pt>
                <c:pt idx="433">
                  <c:v>0.377</c:v>
                </c:pt>
                <c:pt idx="434">
                  <c:v>0.40899999999999997</c:v>
                </c:pt>
                <c:pt idx="435">
                  <c:v>0.40400000000000003</c:v>
                </c:pt>
                <c:pt idx="436">
                  <c:v>0.38200000000000001</c:v>
                </c:pt>
                <c:pt idx="437">
                  <c:v>0.34799999999999998</c:v>
                </c:pt>
                <c:pt idx="438">
                  <c:v>0.33500000000000002</c:v>
                </c:pt>
                <c:pt idx="439">
                  <c:v>0.33400000000000002</c:v>
                </c:pt>
                <c:pt idx="440">
                  <c:v>0.31900000000000001</c:v>
                </c:pt>
                <c:pt idx="441">
                  <c:v>0.32500000000000001</c:v>
                </c:pt>
                <c:pt idx="442">
                  <c:v>0.33</c:v>
                </c:pt>
                <c:pt idx="443">
                  <c:v>0.35299999999999998</c:v>
                </c:pt>
                <c:pt idx="444">
                  <c:v>0.32500000000000001</c:v>
                </c:pt>
                <c:pt idx="445">
                  <c:v>0.32900000000000001</c:v>
                </c:pt>
                <c:pt idx="446">
                  <c:v>0.29099999999999998</c:v>
                </c:pt>
                <c:pt idx="447">
                  <c:v>0.29899999999999999</c:v>
                </c:pt>
                <c:pt idx="448">
                  <c:v>0.29399999999999998</c:v>
                </c:pt>
                <c:pt idx="449">
                  <c:v>0.29399999999999998</c:v>
                </c:pt>
                <c:pt idx="450">
                  <c:v>0.29299999999999998</c:v>
                </c:pt>
                <c:pt idx="451">
                  <c:v>0.29699999999999999</c:v>
                </c:pt>
                <c:pt idx="452">
                  <c:v>0.27900000000000003</c:v>
                </c:pt>
                <c:pt idx="453">
                  <c:v>0.26500000000000001</c:v>
                </c:pt>
                <c:pt idx="454">
                  <c:v>0.28100000000000003</c:v>
                </c:pt>
                <c:pt idx="455">
                  <c:v>0.27400000000000002</c:v>
                </c:pt>
                <c:pt idx="456">
                  <c:v>0.28399999999999997</c:v>
                </c:pt>
                <c:pt idx="457">
                  <c:v>0.28199999999999997</c:v>
                </c:pt>
                <c:pt idx="458">
                  <c:v>0.28899999999999998</c:v>
                </c:pt>
                <c:pt idx="459">
                  <c:v>0.28000000000000003</c:v>
                </c:pt>
                <c:pt idx="460">
                  <c:v>0.27300000000000002</c:v>
                </c:pt>
                <c:pt idx="461">
                  <c:v>0.27200000000000002</c:v>
                </c:pt>
                <c:pt idx="462">
                  <c:v>0.27400000000000002</c:v>
                </c:pt>
                <c:pt idx="463">
                  <c:v>0.27500000000000002</c:v>
                </c:pt>
                <c:pt idx="464">
                  <c:v>0.27300000000000002</c:v>
                </c:pt>
                <c:pt idx="465">
                  <c:v>0.245</c:v>
                </c:pt>
                <c:pt idx="466">
                  <c:v>0.25700000000000001</c:v>
                </c:pt>
                <c:pt idx="467">
                  <c:v>0.247</c:v>
                </c:pt>
                <c:pt idx="468">
                  <c:v>0.253</c:v>
                </c:pt>
                <c:pt idx="469">
                  <c:v>0.25</c:v>
                </c:pt>
                <c:pt idx="470">
                  <c:v>0.30099999999999999</c:v>
                </c:pt>
                <c:pt idx="471">
                  <c:v>0.33</c:v>
                </c:pt>
                <c:pt idx="472">
                  <c:v>0.3</c:v>
                </c:pt>
                <c:pt idx="473">
                  <c:v>0.30099999999999999</c:v>
                </c:pt>
                <c:pt idx="474">
                  <c:v>0.3</c:v>
                </c:pt>
                <c:pt idx="475">
                  <c:v>0.315</c:v>
                </c:pt>
                <c:pt idx="476">
                  <c:v>0.29699999999999999</c:v>
                </c:pt>
                <c:pt idx="477">
                  <c:v>0.29699999999999999</c:v>
                </c:pt>
                <c:pt idx="478">
                  <c:v>0.28699999999999998</c:v>
                </c:pt>
                <c:pt idx="479">
                  <c:v>0.28000000000000003</c:v>
                </c:pt>
                <c:pt idx="480">
                  <c:v>0.29199999999999998</c:v>
                </c:pt>
                <c:pt idx="481">
                  <c:v>0.30199999999999999</c:v>
                </c:pt>
                <c:pt idx="482">
                  <c:v>0.29499999999999998</c:v>
                </c:pt>
                <c:pt idx="483">
                  <c:v>0.29299999999999998</c:v>
                </c:pt>
                <c:pt idx="484">
                  <c:v>0.29699999999999999</c:v>
                </c:pt>
                <c:pt idx="485">
                  <c:v>0.30399999999999999</c:v>
                </c:pt>
                <c:pt idx="486">
                  <c:v>0.32400000000000001</c:v>
                </c:pt>
                <c:pt idx="487">
                  <c:v>0.33500000000000002</c:v>
                </c:pt>
                <c:pt idx="488">
                  <c:v>0.33400000000000002</c:v>
                </c:pt>
                <c:pt idx="489">
                  <c:v>0.34200000000000003</c:v>
                </c:pt>
                <c:pt idx="490">
                  <c:v>0.33800000000000002</c:v>
                </c:pt>
                <c:pt idx="491">
                  <c:v>0.34</c:v>
                </c:pt>
                <c:pt idx="492">
                  <c:v>0.33400000000000002</c:v>
                </c:pt>
                <c:pt idx="493">
                  <c:v>0.34599999999999997</c:v>
                </c:pt>
                <c:pt idx="494">
                  <c:v>0.33900000000000002</c:v>
                </c:pt>
                <c:pt idx="495">
                  <c:v>0.35</c:v>
                </c:pt>
                <c:pt idx="496">
                  <c:v>0.35</c:v>
                </c:pt>
                <c:pt idx="497">
                  <c:v>0.373</c:v>
                </c:pt>
                <c:pt idx="498">
                  <c:v>0.375</c:v>
                </c:pt>
                <c:pt idx="499">
                  <c:v>0.36099999999999999</c:v>
                </c:pt>
                <c:pt idx="500">
                  <c:v>0.34399999999999997</c:v>
                </c:pt>
                <c:pt idx="501">
                  <c:v>0.33600000000000002</c:v>
                </c:pt>
                <c:pt idx="502">
                  <c:v>0.35399999999999998</c:v>
                </c:pt>
                <c:pt idx="503">
                  <c:v>0.34399999999999997</c:v>
                </c:pt>
                <c:pt idx="504">
                  <c:v>0.34499999999999997</c:v>
                </c:pt>
                <c:pt idx="505">
                  <c:v>0.33700000000000002</c:v>
                </c:pt>
                <c:pt idx="506">
                  <c:v>0.34300000000000003</c:v>
                </c:pt>
                <c:pt idx="507">
                  <c:v>0.33400000000000002</c:v>
                </c:pt>
                <c:pt idx="508">
                  <c:v>0.36299999999999999</c:v>
                </c:pt>
                <c:pt idx="509">
                  <c:v>0.379</c:v>
                </c:pt>
                <c:pt idx="510">
                  <c:v>0.39600000000000002</c:v>
                </c:pt>
                <c:pt idx="511">
                  <c:v>0.38700000000000001</c:v>
                </c:pt>
                <c:pt idx="512">
                  <c:v>0.40200000000000002</c:v>
                </c:pt>
                <c:pt idx="513">
                  <c:v>0.39400000000000002</c:v>
                </c:pt>
                <c:pt idx="514">
                  <c:v>0.38700000000000001</c:v>
                </c:pt>
                <c:pt idx="515">
                  <c:v>0.371</c:v>
                </c:pt>
                <c:pt idx="516">
                  <c:v>0.36099999999999999</c:v>
                </c:pt>
                <c:pt idx="517">
                  <c:v>0.371</c:v>
                </c:pt>
                <c:pt idx="518">
                  <c:v>0.36799999999999999</c:v>
                </c:pt>
                <c:pt idx="519">
                  <c:v>0.36399999999999999</c:v>
                </c:pt>
                <c:pt idx="520">
                  <c:v>0.38500000000000001</c:v>
                </c:pt>
                <c:pt idx="521">
                  <c:v>0.377</c:v>
                </c:pt>
                <c:pt idx="522">
                  <c:v>0.36899999999999999</c:v>
                </c:pt>
                <c:pt idx="523">
                  <c:v>0.36499999999999999</c:v>
                </c:pt>
                <c:pt idx="524">
                  <c:v>0.374</c:v>
                </c:pt>
                <c:pt idx="525">
                  <c:v>0.38200000000000001</c:v>
                </c:pt>
                <c:pt idx="526">
                  <c:v>0.376</c:v>
                </c:pt>
                <c:pt idx="527">
                  <c:v>0.38</c:v>
                </c:pt>
                <c:pt idx="528">
                  <c:v>0.40500000000000003</c:v>
                </c:pt>
                <c:pt idx="529">
                  <c:v>0.39600000000000002</c:v>
                </c:pt>
                <c:pt idx="530">
                  <c:v>0.41599999999999998</c:v>
                </c:pt>
                <c:pt idx="531">
                  <c:v>0.40799999999999997</c:v>
                </c:pt>
                <c:pt idx="532">
                  <c:v>0.40799999999999997</c:v>
                </c:pt>
                <c:pt idx="533">
                  <c:v>0.4</c:v>
                </c:pt>
                <c:pt idx="534">
                  <c:v>0.40899999999999997</c:v>
                </c:pt>
                <c:pt idx="535">
                  <c:v>0.437</c:v>
                </c:pt>
                <c:pt idx="536">
                  <c:v>0.44900000000000001</c:v>
                </c:pt>
                <c:pt idx="537">
                  <c:v>0.48599999999999999</c:v>
                </c:pt>
                <c:pt idx="538">
                  <c:v>0.48</c:v>
                </c:pt>
                <c:pt idx="539">
                  <c:v>0.51600000000000001</c:v>
                </c:pt>
                <c:pt idx="540">
                  <c:v>0.61599999999999999</c:v>
                </c:pt>
                <c:pt idx="541">
                  <c:v>0.60099999999999998</c:v>
                </c:pt>
                <c:pt idx="542">
                  <c:v>0.626</c:v>
                </c:pt>
                <c:pt idx="543">
                  <c:v>0.70299999999999996</c:v>
                </c:pt>
                <c:pt idx="544">
                  <c:v>0.80600000000000005</c:v>
                </c:pt>
                <c:pt idx="545">
                  <c:v>0.67300000000000004</c:v>
                </c:pt>
                <c:pt idx="546">
                  <c:v>0.70099999999999996</c:v>
                </c:pt>
                <c:pt idx="547">
                  <c:v>0.69899999999999995</c:v>
                </c:pt>
                <c:pt idx="548">
                  <c:v>0.77100000000000002</c:v>
                </c:pt>
                <c:pt idx="549">
                  <c:v>0.80400000000000005</c:v>
                </c:pt>
                <c:pt idx="550">
                  <c:v>0.77</c:v>
                </c:pt>
                <c:pt idx="551">
                  <c:v>0.76900000000000002</c:v>
                </c:pt>
                <c:pt idx="552">
                  <c:v>0.73599999999999999</c:v>
                </c:pt>
                <c:pt idx="553">
                  <c:v>0.67800000000000005</c:v>
                </c:pt>
                <c:pt idx="554">
                  <c:v>0.69899999999999995</c:v>
                </c:pt>
                <c:pt idx="555">
                  <c:v>0.71</c:v>
                </c:pt>
                <c:pt idx="556">
                  <c:v>0.65900000000000003</c:v>
                </c:pt>
                <c:pt idx="557">
                  <c:v>0.67400000000000004</c:v>
                </c:pt>
                <c:pt idx="558">
                  <c:v>0.73</c:v>
                </c:pt>
                <c:pt idx="559">
                  <c:v>0.75900000000000001</c:v>
                </c:pt>
                <c:pt idx="560">
                  <c:v>0.71699999999999997</c:v>
                </c:pt>
                <c:pt idx="561">
                  <c:v>0.68700000000000006</c:v>
                </c:pt>
                <c:pt idx="562">
                  <c:v>0.64</c:v>
                </c:pt>
                <c:pt idx="563">
                  <c:v>0.65500000000000003</c:v>
                </c:pt>
                <c:pt idx="564">
                  <c:v>0.64800000000000002</c:v>
                </c:pt>
                <c:pt idx="565">
                  <c:v>0.66</c:v>
                </c:pt>
                <c:pt idx="566">
                  <c:v>0.72099999999999997</c:v>
                </c:pt>
                <c:pt idx="567">
                  <c:v>0.71799999999999997</c:v>
                </c:pt>
                <c:pt idx="568">
                  <c:v>0.70699999999999996</c:v>
                </c:pt>
                <c:pt idx="569">
                  <c:v>0.67700000000000005</c:v>
                </c:pt>
                <c:pt idx="570">
                  <c:v>0.65700000000000003</c:v>
                </c:pt>
                <c:pt idx="571">
                  <c:v>0.65</c:v>
                </c:pt>
                <c:pt idx="572">
                  <c:v>0.66400000000000003</c:v>
                </c:pt>
                <c:pt idx="573">
                  <c:v>0.67</c:v>
                </c:pt>
                <c:pt idx="574">
                  <c:v>0.70199999999999996</c:v>
                </c:pt>
                <c:pt idx="575">
                  <c:v>0.67900000000000005</c:v>
                </c:pt>
                <c:pt idx="576">
                  <c:v>0.69599999999999995</c:v>
                </c:pt>
                <c:pt idx="577">
                  <c:v>0.69599999999999995</c:v>
                </c:pt>
                <c:pt idx="578">
                  <c:v>0.68500000000000005</c:v>
                </c:pt>
                <c:pt idx="579">
                  <c:v>0.72099999999999997</c:v>
                </c:pt>
                <c:pt idx="580">
                  <c:v>0.69199999999999995</c:v>
                </c:pt>
                <c:pt idx="581">
                  <c:v>0.69199999999999995</c:v>
                </c:pt>
                <c:pt idx="582">
                  <c:v>0.71799999999999997</c:v>
                </c:pt>
                <c:pt idx="583">
                  <c:v>0.73199999999999998</c:v>
                </c:pt>
                <c:pt idx="584">
                  <c:v>0.72399999999999998</c:v>
                </c:pt>
                <c:pt idx="585">
                  <c:v>0.70199999999999996</c:v>
                </c:pt>
                <c:pt idx="586">
                  <c:v>0.68500000000000005</c:v>
                </c:pt>
                <c:pt idx="587">
                  <c:v>0.69299999999999995</c:v>
                </c:pt>
                <c:pt idx="588">
                  <c:v>0.69199999999999995</c:v>
                </c:pt>
                <c:pt idx="589">
                  <c:v>0.69899999999999995</c:v>
                </c:pt>
                <c:pt idx="590">
                  <c:v>0.69099999999999995</c:v>
                </c:pt>
                <c:pt idx="591">
                  <c:v>0.67300000000000004</c:v>
                </c:pt>
                <c:pt idx="592">
                  <c:v>0.66600000000000004</c:v>
                </c:pt>
                <c:pt idx="593">
                  <c:v>0.67100000000000004</c:v>
                </c:pt>
                <c:pt idx="594">
                  <c:v>0.67400000000000004</c:v>
                </c:pt>
                <c:pt idx="595">
                  <c:v>0.70199999999999996</c:v>
                </c:pt>
                <c:pt idx="596">
                  <c:v>0.73499999999999999</c:v>
                </c:pt>
                <c:pt idx="597">
                  <c:v>0.73799999999999999</c:v>
                </c:pt>
                <c:pt idx="598">
                  <c:v>0.72599999999999998</c:v>
                </c:pt>
                <c:pt idx="599">
                  <c:v>0.745</c:v>
                </c:pt>
                <c:pt idx="600">
                  <c:v>0.74299999999999999</c:v>
                </c:pt>
                <c:pt idx="601">
                  <c:v>0.72899999999999998</c:v>
                </c:pt>
                <c:pt idx="602">
                  <c:v>0.70099999999999996</c:v>
                </c:pt>
                <c:pt idx="603">
                  <c:v>0.68</c:v>
                </c:pt>
                <c:pt idx="604">
                  <c:v>0.66900000000000004</c:v>
                </c:pt>
                <c:pt idx="605">
                  <c:v>0.67500000000000004</c:v>
                </c:pt>
                <c:pt idx="606">
                  <c:v>0.66900000000000004</c:v>
                </c:pt>
                <c:pt idx="607">
                  <c:v>0.71099999999999997</c:v>
                </c:pt>
                <c:pt idx="608">
                  <c:v>0.71599999999999997</c:v>
                </c:pt>
                <c:pt idx="609">
                  <c:v>0.71</c:v>
                </c:pt>
                <c:pt idx="610">
                  <c:v>0.71799999999999997</c:v>
                </c:pt>
                <c:pt idx="611">
                  <c:v>0.70399999999999996</c:v>
                </c:pt>
                <c:pt idx="612">
                  <c:v>0.73699999999999999</c:v>
                </c:pt>
                <c:pt idx="613">
                  <c:v>0.71</c:v>
                </c:pt>
                <c:pt idx="614">
                  <c:v>0.70599999999999996</c:v>
                </c:pt>
                <c:pt idx="615">
                  <c:v>0.67600000000000005</c:v>
                </c:pt>
                <c:pt idx="616">
                  <c:v>0.63300000000000001</c:v>
                </c:pt>
                <c:pt idx="617">
                  <c:v>0.62</c:v>
                </c:pt>
                <c:pt idx="618">
                  <c:v>0.629</c:v>
                </c:pt>
                <c:pt idx="619">
                  <c:v>0.64900000000000002</c:v>
                </c:pt>
                <c:pt idx="620">
                  <c:v>0.754</c:v>
                </c:pt>
                <c:pt idx="621">
                  <c:v>0.78900000000000003</c:v>
                </c:pt>
                <c:pt idx="622">
                  <c:v>0.8</c:v>
                </c:pt>
                <c:pt idx="623">
                  <c:v>0.82</c:v>
                </c:pt>
                <c:pt idx="624">
                  <c:v>0.79100000000000004</c:v>
                </c:pt>
                <c:pt idx="625">
                  <c:v>0.78200000000000003</c:v>
                </c:pt>
                <c:pt idx="626">
                  <c:v>0.81200000000000006</c:v>
                </c:pt>
                <c:pt idx="627">
                  <c:v>0.78900000000000003</c:v>
                </c:pt>
                <c:pt idx="628">
                  <c:v>0.77400000000000002</c:v>
                </c:pt>
                <c:pt idx="629">
                  <c:v>0.77</c:v>
                </c:pt>
                <c:pt idx="630">
                  <c:v>0.76700000000000002</c:v>
                </c:pt>
                <c:pt idx="631">
                  <c:v>0.74099999999999999</c:v>
                </c:pt>
                <c:pt idx="632">
                  <c:v>0.71899999999999997</c:v>
                </c:pt>
                <c:pt idx="633">
                  <c:v>0.78700000000000003</c:v>
                </c:pt>
                <c:pt idx="634">
                  <c:v>0.72899999999999998</c:v>
                </c:pt>
                <c:pt idx="635">
                  <c:v>0.68200000000000005</c:v>
                </c:pt>
                <c:pt idx="636">
                  <c:v>0.69099999999999995</c:v>
                </c:pt>
                <c:pt idx="637">
                  <c:v>0.64300000000000002</c:v>
                </c:pt>
                <c:pt idx="638">
                  <c:v>0.64200000000000002</c:v>
                </c:pt>
                <c:pt idx="639">
                  <c:v>0.66300000000000003</c:v>
                </c:pt>
                <c:pt idx="640">
                  <c:v>0.63</c:v>
                </c:pt>
                <c:pt idx="641">
                  <c:v>0.63300000000000001</c:v>
                </c:pt>
                <c:pt idx="642">
                  <c:v>0.60099999999999998</c:v>
                </c:pt>
                <c:pt idx="643">
                  <c:v>0.55900000000000005</c:v>
                </c:pt>
                <c:pt idx="644">
                  <c:v>0.54600000000000004</c:v>
                </c:pt>
                <c:pt idx="645">
                  <c:v>0.57599999999999996</c:v>
                </c:pt>
                <c:pt idx="646">
                  <c:v>0.58699999999999997</c:v>
                </c:pt>
                <c:pt idx="647">
                  <c:v>0.57499999999999996</c:v>
                </c:pt>
                <c:pt idx="648">
                  <c:v>0.58099999999999996</c:v>
                </c:pt>
                <c:pt idx="649">
                  <c:v>0.54900000000000004</c:v>
                </c:pt>
                <c:pt idx="650">
                  <c:v>0.54500000000000004</c:v>
                </c:pt>
                <c:pt idx="651">
                  <c:v>0.55800000000000005</c:v>
                </c:pt>
                <c:pt idx="652">
                  <c:v>0.56000000000000005</c:v>
                </c:pt>
                <c:pt idx="653">
                  <c:v>0.55700000000000005</c:v>
                </c:pt>
                <c:pt idx="654">
                  <c:v>0.57399999999999995</c:v>
                </c:pt>
                <c:pt idx="655">
                  <c:v>0.60599999999999998</c:v>
                </c:pt>
                <c:pt idx="656">
                  <c:v>0.61799999999999999</c:v>
                </c:pt>
                <c:pt idx="657">
                  <c:v>0.61599999999999999</c:v>
                </c:pt>
                <c:pt idx="658">
                  <c:v>0.63</c:v>
                </c:pt>
                <c:pt idx="659">
                  <c:v>0.60699999999999998</c:v>
                </c:pt>
                <c:pt idx="660">
                  <c:v>0.61899999999999999</c:v>
                </c:pt>
                <c:pt idx="661">
                  <c:v>0.57199999999999995</c:v>
                </c:pt>
                <c:pt idx="662">
                  <c:v>0.55500000000000005</c:v>
                </c:pt>
                <c:pt idx="663">
                  <c:v>0.54600000000000004</c:v>
                </c:pt>
                <c:pt idx="664">
                  <c:v>0.51500000000000001</c:v>
                </c:pt>
                <c:pt idx="665">
                  <c:v>0.501</c:v>
                </c:pt>
                <c:pt idx="666">
                  <c:v>0.51100000000000001</c:v>
                </c:pt>
                <c:pt idx="667">
                  <c:v>0.55000000000000004</c:v>
                </c:pt>
                <c:pt idx="668">
                  <c:v>0.56599999999999995</c:v>
                </c:pt>
                <c:pt idx="669">
                  <c:v>0.59299999999999997</c:v>
                </c:pt>
                <c:pt idx="670">
                  <c:v>0.61299999999999999</c:v>
                </c:pt>
                <c:pt idx="671">
                  <c:v>0.57799999999999996</c:v>
                </c:pt>
                <c:pt idx="672">
                  <c:v>0.58399999999999996</c:v>
                </c:pt>
                <c:pt idx="673">
                  <c:v>0.64100000000000001</c:v>
                </c:pt>
                <c:pt idx="674">
                  <c:v>0.62</c:v>
                </c:pt>
                <c:pt idx="675">
                  <c:v>0.628</c:v>
                </c:pt>
                <c:pt idx="676">
                  <c:v>0.64700000000000002</c:v>
                </c:pt>
                <c:pt idx="677">
                  <c:v>0.65100000000000002</c:v>
                </c:pt>
                <c:pt idx="678">
                  <c:v>0.67400000000000004</c:v>
                </c:pt>
                <c:pt idx="679">
                  <c:v>0.66600000000000004</c:v>
                </c:pt>
                <c:pt idx="680">
                  <c:v>0.63500000000000001</c:v>
                </c:pt>
                <c:pt idx="681">
                  <c:v>0.64400000000000002</c:v>
                </c:pt>
                <c:pt idx="682">
                  <c:v>0.61699999999999999</c:v>
                </c:pt>
                <c:pt idx="683">
                  <c:v>0.58699999999999997</c:v>
                </c:pt>
                <c:pt idx="684">
                  <c:v>0.61599999999999999</c:v>
                </c:pt>
                <c:pt idx="685">
                  <c:v>0.64400000000000002</c:v>
                </c:pt>
                <c:pt idx="686">
                  <c:v>0.64800000000000002</c:v>
                </c:pt>
                <c:pt idx="687">
                  <c:v>0.626</c:v>
                </c:pt>
                <c:pt idx="688">
                  <c:v>0.627</c:v>
                </c:pt>
                <c:pt idx="689">
                  <c:v>0.64100000000000001</c:v>
                </c:pt>
                <c:pt idx="690">
                  <c:v>0.73299999999999998</c:v>
                </c:pt>
                <c:pt idx="691">
                  <c:v>0.73</c:v>
                </c:pt>
                <c:pt idx="692">
                  <c:v>0.77900000000000003</c:v>
                </c:pt>
                <c:pt idx="693">
                  <c:v>0.77700000000000002</c:v>
                </c:pt>
                <c:pt idx="694">
                  <c:v>0.78</c:v>
                </c:pt>
                <c:pt idx="695">
                  <c:v>0.79100000000000004</c:v>
                </c:pt>
                <c:pt idx="696">
                  <c:v>0.80100000000000005</c:v>
                </c:pt>
                <c:pt idx="697">
                  <c:v>0.85299999999999998</c:v>
                </c:pt>
                <c:pt idx="698">
                  <c:v>0.86899999999999999</c:v>
                </c:pt>
                <c:pt idx="699">
                  <c:v>0.93500000000000005</c:v>
                </c:pt>
                <c:pt idx="700">
                  <c:v>0.999</c:v>
                </c:pt>
                <c:pt idx="701">
                  <c:v>1.038</c:v>
                </c:pt>
                <c:pt idx="702">
                  <c:v>1.016</c:v>
                </c:pt>
                <c:pt idx="703">
                  <c:v>1.0009999999999999</c:v>
                </c:pt>
                <c:pt idx="704">
                  <c:v>1.03</c:v>
                </c:pt>
                <c:pt idx="705">
                  <c:v>1.1930000000000001</c:v>
                </c:pt>
                <c:pt idx="706">
                  <c:v>1.1879999999999999</c:v>
                </c:pt>
                <c:pt idx="707">
                  <c:v>1.21</c:v>
                </c:pt>
                <c:pt idx="708">
                  <c:v>1.175</c:v>
                </c:pt>
                <c:pt idx="709">
                  <c:v>1.194</c:v>
                </c:pt>
                <c:pt idx="710">
                  <c:v>1.1930000000000001</c:v>
                </c:pt>
                <c:pt idx="711">
                  <c:v>1.2250000000000001</c:v>
                </c:pt>
                <c:pt idx="712">
                  <c:v>1.351</c:v>
                </c:pt>
                <c:pt idx="713">
                  <c:v>1.4690000000000001</c:v>
                </c:pt>
                <c:pt idx="714">
                  <c:v>1.569</c:v>
                </c:pt>
                <c:pt idx="715">
                  <c:v>1.3640000000000001</c:v>
                </c:pt>
                <c:pt idx="716">
                  <c:v>1.337</c:v>
                </c:pt>
                <c:pt idx="717">
                  <c:v>1.3260000000000001</c:v>
                </c:pt>
                <c:pt idx="718">
                  <c:v>1.369</c:v>
                </c:pt>
                <c:pt idx="719">
                  <c:v>1.337</c:v>
                </c:pt>
                <c:pt idx="720">
                  <c:v>1.278</c:v>
                </c:pt>
                <c:pt idx="721">
                  <c:v>1.3120000000000001</c:v>
                </c:pt>
                <c:pt idx="722">
                  <c:v>1.3129999999999999</c:v>
                </c:pt>
                <c:pt idx="723">
                  <c:v>1.4179999999999999</c:v>
                </c:pt>
                <c:pt idx="724">
                  <c:v>1.4379999999999999</c:v>
                </c:pt>
                <c:pt idx="725">
                  <c:v>1.3879999999999999</c:v>
                </c:pt>
                <c:pt idx="726">
                  <c:v>1.4419999999999999</c:v>
                </c:pt>
                <c:pt idx="727">
                  <c:v>1.419</c:v>
                </c:pt>
                <c:pt idx="728">
                  <c:v>1.381</c:v>
                </c:pt>
                <c:pt idx="729">
                  <c:v>1.3919999999999999</c:v>
                </c:pt>
                <c:pt idx="730">
                  <c:v>1.389</c:v>
                </c:pt>
                <c:pt idx="731">
                  <c:v>1.4490000000000001</c:v>
                </c:pt>
                <c:pt idx="732">
                  <c:v>1.4359999999999999</c:v>
                </c:pt>
                <c:pt idx="733">
                  <c:v>1.4730000000000001</c:v>
                </c:pt>
                <c:pt idx="734">
                  <c:v>1.357</c:v>
                </c:pt>
                <c:pt idx="735">
                  <c:v>1.345</c:v>
                </c:pt>
                <c:pt idx="736">
                  <c:v>1.3029999999999999</c:v>
                </c:pt>
                <c:pt idx="737">
                  <c:v>1.355</c:v>
                </c:pt>
                <c:pt idx="738">
                  <c:v>1.345</c:v>
                </c:pt>
                <c:pt idx="739">
                  <c:v>1.306</c:v>
                </c:pt>
                <c:pt idx="740">
                  <c:v>1.2749999999999999</c:v>
                </c:pt>
                <c:pt idx="741">
                  <c:v>1.3620000000000001</c:v>
                </c:pt>
                <c:pt idx="742">
                  <c:v>1.3660000000000001</c:v>
                </c:pt>
                <c:pt idx="743">
                  <c:v>1.37</c:v>
                </c:pt>
                <c:pt idx="744">
                  <c:v>1.345</c:v>
                </c:pt>
                <c:pt idx="745">
                  <c:v>1.3160000000000001</c:v>
                </c:pt>
                <c:pt idx="746">
                  <c:v>1.2709999999999999</c:v>
                </c:pt>
                <c:pt idx="747">
                  <c:v>1.3129999999999999</c:v>
                </c:pt>
                <c:pt idx="748">
                  <c:v>1.363</c:v>
                </c:pt>
                <c:pt idx="749">
                  <c:v>1.367</c:v>
                </c:pt>
                <c:pt idx="750">
                  <c:v>1.323</c:v>
                </c:pt>
                <c:pt idx="751">
                  <c:v>1.3480000000000001</c:v>
                </c:pt>
                <c:pt idx="752">
                  <c:v>1.2869999999999999</c:v>
                </c:pt>
                <c:pt idx="753">
                  <c:v>1.298</c:v>
                </c:pt>
                <c:pt idx="754">
                  <c:v>1.2989999999999999</c:v>
                </c:pt>
                <c:pt idx="755">
                  <c:v>1.2450000000000001</c:v>
                </c:pt>
                <c:pt idx="756">
                  <c:v>1.3109999999999999</c:v>
                </c:pt>
                <c:pt idx="757">
                  <c:v>1.34</c:v>
                </c:pt>
                <c:pt idx="758">
                  <c:v>1.4019999999999999</c:v>
                </c:pt>
                <c:pt idx="759">
                  <c:v>1.42</c:v>
                </c:pt>
                <c:pt idx="760">
                  <c:v>1.4830000000000001</c:v>
                </c:pt>
                <c:pt idx="761">
                  <c:v>1.4650000000000001</c:v>
                </c:pt>
                <c:pt idx="762">
                  <c:v>1.498</c:v>
                </c:pt>
                <c:pt idx="763">
                  <c:v>1.484</c:v>
                </c:pt>
                <c:pt idx="764">
                  <c:v>1.4550000000000001</c:v>
                </c:pt>
                <c:pt idx="765">
                  <c:v>1.4690000000000001</c:v>
                </c:pt>
                <c:pt idx="766">
                  <c:v>1.49</c:v>
                </c:pt>
                <c:pt idx="767">
                  <c:v>1.5469999999999999</c:v>
                </c:pt>
                <c:pt idx="768">
                  <c:v>1.583</c:v>
                </c:pt>
                <c:pt idx="769">
                  <c:v>1.6279999999999999</c:v>
                </c:pt>
                <c:pt idx="770">
                  <c:v>1.653</c:v>
                </c:pt>
                <c:pt idx="771">
                  <c:v>1.5760000000000001</c:v>
                </c:pt>
                <c:pt idx="772">
                  <c:v>1.6060000000000001</c:v>
                </c:pt>
                <c:pt idx="773">
                  <c:v>1.645</c:v>
                </c:pt>
                <c:pt idx="774">
                  <c:v>1.7190000000000001</c:v>
                </c:pt>
                <c:pt idx="775">
                  <c:v>1.645</c:v>
                </c:pt>
                <c:pt idx="776">
                  <c:v>1.5529999999999999</c:v>
                </c:pt>
                <c:pt idx="777">
                  <c:v>1.5680000000000001</c:v>
                </c:pt>
                <c:pt idx="778">
                  <c:v>1.579</c:v>
                </c:pt>
                <c:pt idx="779">
                  <c:v>1.552</c:v>
                </c:pt>
                <c:pt idx="780">
                  <c:v>1.635</c:v>
                </c:pt>
                <c:pt idx="781">
                  <c:v>1.7070000000000001</c:v>
                </c:pt>
                <c:pt idx="782">
                  <c:v>1.802</c:v>
                </c:pt>
                <c:pt idx="783">
                  <c:v>1.794</c:v>
                </c:pt>
                <c:pt idx="784">
                  <c:v>1.7849999999999999</c:v>
                </c:pt>
                <c:pt idx="785">
                  <c:v>1.9139999999999999</c:v>
                </c:pt>
                <c:pt idx="786">
                  <c:v>1.843</c:v>
                </c:pt>
                <c:pt idx="787">
                  <c:v>1.9039999999999999</c:v>
                </c:pt>
                <c:pt idx="788">
                  <c:v>1.9259999999999999</c:v>
                </c:pt>
                <c:pt idx="789">
                  <c:v>1.895</c:v>
                </c:pt>
                <c:pt idx="790">
                  <c:v>1.921</c:v>
                </c:pt>
                <c:pt idx="791">
                  <c:v>1.901</c:v>
                </c:pt>
                <c:pt idx="792">
                  <c:v>1.899</c:v>
                </c:pt>
                <c:pt idx="793">
                  <c:v>1.982</c:v>
                </c:pt>
                <c:pt idx="794">
                  <c:v>1.885</c:v>
                </c:pt>
                <c:pt idx="795">
                  <c:v>1.9430000000000001</c:v>
                </c:pt>
                <c:pt idx="796">
                  <c:v>1.827</c:v>
                </c:pt>
                <c:pt idx="797">
                  <c:v>1.847</c:v>
                </c:pt>
                <c:pt idx="798">
                  <c:v>1.744</c:v>
                </c:pt>
                <c:pt idx="799">
                  <c:v>1.833</c:v>
                </c:pt>
                <c:pt idx="800">
                  <c:v>1.847</c:v>
                </c:pt>
                <c:pt idx="801">
                  <c:v>1.84</c:v>
                </c:pt>
                <c:pt idx="802">
                  <c:v>1.9350000000000001</c:v>
                </c:pt>
                <c:pt idx="803">
                  <c:v>2.0230000000000001</c:v>
                </c:pt>
                <c:pt idx="804">
                  <c:v>2.0720000000000001</c:v>
                </c:pt>
                <c:pt idx="805">
                  <c:v>2.1070000000000002</c:v>
                </c:pt>
                <c:pt idx="806">
                  <c:v>2.1429999999999998</c:v>
                </c:pt>
                <c:pt idx="807">
                  <c:v>2.177</c:v>
                </c:pt>
                <c:pt idx="808">
                  <c:v>2.133</c:v>
                </c:pt>
                <c:pt idx="809">
                  <c:v>2.1819999999999999</c:v>
                </c:pt>
                <c:pt idx="810">
                  <c:v>2.234</c:v>
                </c:pt>
                <c:pt idx="811">
                  <c:v>2.2469999999999999</c:v>
                </c:pt>
                <c:pt idx="812">
                  <c:v>2.4260000000000002</c:v>
                </c:pt>
                <c:pt idx="813">
                  <c:v>2.472</c:v>
                </c:pt>
                <c:pt idx="814">
                  <c:v>2.4750000000000001</c:v>
                </c:pt>
                <c:pt idx="815">
                  <c:v>2.4929999999999999</c:v>
                </c:pt>
                <c:pt idx="816">
                  <c:v>2.673</c:v>
                </c:pt>
                <c:pt idx="817">
                  <c:v>2.7250000000000001</c:v>
                </c:pt>
                <c:pt idx="818">
                  <c:v>2.5990000000000002</c:v>
                </c:pt>
                <c:pt idx="819">
                  <c:v>2.6019999999999999</c:v>
                </c:pt>
                <c:pt idx="820">
                  <c:v>2.6269999999999998</c:v>
                </c:pt>
                <c:pt idx="821">
                  <c:v>2.6280000000000001</c:v>
                </c:pt>
                <c:pt idx="822">
                  <c:v>2.7130000000000001</c:v>
                </c:pt>
                <c:pt idx="823">
                  <c:v>2.7839999999999998</c:v>
                </c:pt>
                <c:pt idx="824">
                  <c:v>2.7429999999999999</c:v>
                </c:pt>
                <c:pt idx="825">
                  <c:v>2.7549999999999999</c:v>
                </c:pt>
                <c:pt idx="826">
                  <c:v>2.7480000000000002</c:v>
                </c:pt>
                <c:pt idx="827">
                  <c:v>2.7959999999999998</c:v>
                </c:pt>
                <c:pt idx="828">
                  <c:v>2.746</c:v>
                </c:pt>
                <c:pt idx="829">
                  <c:v>2.6219999999999999</c:v>
                </c:pt>
                <c:pt idx="830">
                  <c:v>2.722</c:v>
                </c:pt>
                <c:pt idx="831">
                  <c:v>2.7970000000000002</c:v>
                </c:pt>
                <c:pt idx="832">
                  <c:v>2.831</c:v>
                </c:pt>
                <c:pt idx="833">
                  <c:v>2.9159999999999999</c:v>
                </c:pt>
                <c:pt idx="834">
                  <c:v>2.879</c:v>
                </c:pt>
                <c:pt idx="835">
                  <c:v>2.8610000000000002</c:v>
                </c:pt>
                <c:pt idx="836">
                  <c:v>2.8610000000000002</c:v>
                </c:pt>
                <c:pt idx="837">
                  <c:v>2.895</c:v>
                </c:pt>
                <c:pt idx="838">
                  <c:v>3.0219999999999998</c:v>
                </c:pt>
                <c:pt idx="839">
                  <c:v>3.1960000000000002</c:v>
                </c:pt>
                <c:pt idx="840">
                  <c:v>3.3079999999999998</c:v>
                </c:pt>
                <c:pt idx="841">
                  <c:v>3.141</c:v>
                </c:pt>
                <c:pt idx="842">
                  <c:v>3.2160000000000002</c:v>
                </c:pt>
                <c:pt idx="843">
                  <c:v>3.2570000000000001</c:v>
                </c:pt>
                <c:pt idx="844">
                  <c:v>3.2250000000000001</c:v>
                </c:pt>
                <c:pt idx="845">
                  <c:v>3.1680000000000001</c:v>
                </c:pt>
                <c:pt idx="846">
                  <c:v>3.1070000000000002</c:v>
                </c:pt>
                <c:pt idx="847">
                  <c:v>3.0470000000000002</c:v>
                </c:pt>
                <c:pt idx="848">
                  <c:v>3.06</c:v>
                </c:pt>
                <c:pt idx="849">
                  <c:v>3.089</c:v>
                </c:pt>
                <c:pt idx="850">
                  <c:v>3.117</c:v>
                </c:pt>
                <c:pt idx="851">
                  <c:v>3.0590000000000002</c:v>
                </c:pt>
                <c:pt idx="852">
                  <c:v>3.008</c:v>
                </c:pt>
                <c:pt idx="853">
                  <c:v>3.0249999999999999</c:v>
                </c:pt>
                <c:pt idx="854">
                  <c:v>3.0350000000000001</c:v>
                </c:pt>
                <c:pt idx="855">
                  <c:v>2.95</c:v>
                </c:pt>
                <c:pt idx="856">
                  <c:v>2.9449999999999998</c:v>
                </c:pt>
                <c:pt idx="857">
                  <c:v>2.9769999999999999</c:v>
                </c:pt>
                <c:pt idx="858">
                  <c:v>2.984</c:v>
                </c:pt>
                <c:pt idx="859">
                  <c:v>3.0750000000000002</c:v>
                </c:pt>
                <c:pt idx="860">
                  <c:v>3.1320000000000001</c:v>
                </c:pt>
                <c:pt idx="861">
                  <c:v>3.2250000000000001</c:v>
                </c:pt>
                <c:pt idx="862">
                  <c:v>3.1970000000000001</c:v>
                </c:pt>
                <c:pt idx="863">
                  <c:v>3.2189999999999999</c:v>
                </c:pt>
                <c:pt idx="864">
                  <c:v>3.343</c:v>
                </c:pt>
                <c:pt idx="865">
                  <c:v>3.3029999999999999</c:v>
                </c:pt>
                <c:pt idx="866">
                  <c:v>3.3290000000000002</c:v>
                </c:pt>
                <c:pt idx="867">
                  <c:v>3.363</c:v>
                </c:pt>
                <c:pt idx="868">
                  <c:v>3.6779999999999999</c:v>
                </c:pt>
                <c:pt idx="869">
                  <c:v>3.92</c:v>
                </c:pt>
                <c:pt idx="870">
                  <c:v>3.7160000000000002</c:v>
                </c:pt>
                <c:pt idx="871">
                  <c:v>3.85</c:v>
                </c:pt>
                <c:pt idx="872">
                  <c:v>3.819</c:v>
                </c:pt>
                <c:pt idx="873">
                  <c:v>3.7879999999999998</c:v>
                </c:pt>
                <c:pt idx="874">
                  <c:v>3.698</c:v>
                </c:pt>
                <c:pt idx="875">
                  <c:v>3.581</c:v>
                </c:pt>
                <c:pt idx="876">
                  <c:v>3.4369999999999998</c:v>
                </c:pt>
                <c:pt idx="877">
                  <c:v>3.5089999999999999</c:v>
                </c:pt>
                <c:pt idx="878">
                  <c:v>3.4990000000000001</c:v>
                </c:pt>
                <c:pt idx="879">
                  <c:v>3.4340000000000002</c:v>
                </c:pt>
                <c:pt idx="880">
                  <c:v>3.3610000000000002</c:v>
                </c:pt>
                <c:pt idx="881">
                  <c:v>3.234</c:v>
                </c:pt>
                <c:pt idx="882">
                  <c:v>3.1970000000000001</c:v>
                </c:pt>
                <c:pt idx="883">
                  <c:v>3.1869999999999998</c:v>
                </c:pt>
                <c:pt idx="884">
                  <c:v>3.0939999999999999</c:v>
                </c:pt>
                <c:pt idx="885">
                  <c:v>3.141</c:v>
                </c:pt>
                <c:pt idx="886">
                  <c:v>3.1720000000000002</c:v>
                </c:pt>
                <c:pt idx="887">
                  <c:v>3.1920000000000002</c:v>
                </c:pt>
                <c:pt idx="888">
                  <c:v>3.0990000000000002</c:v>
                </c:pt>
                <c:pt idx="889">
                  <c:v>3.0870000000000002</c:v>
                </c:pt>
                <c:pt idx="890">
                  <c:v>3.1680000000000001</c:v>
                </c:pt>
                <c:pt idx="891">
                  <c:v>3.1549999999999998</c:v>
                </c:pt>
                <c:pt idx="892">
                  <c:v>3.2029999999999998</c:v>
                </c:pt>
                <c:pt idx="893">
                  <c:v>3.2989999999999999</c:v>
                </c:pt>
                <c:pt idx="894">
                  <c:v>3.3410000000000002</c:v>
                </c:pt>
                <c:pt idx="895">
                  <c:v>3.3559999999999999</c:v>
                </c:pt>
                <c:pt idx="896">
                  <c:v>3.2450000000000001</c:v>
                </c:pt>
                <c:pt idx="897">
                  <c:v>3.1680000000000001</c:v>
                </c:pt>
                <c:pt idx="898">
                  <c:v>3.1549999999999998</c:v>
                </c:pt>
                <c:pt idx="899">
                  <c:v>3.036</c:v>
                </c:pt>
                <c:pt idx="900">
                  <c:v>2.9790000000000001</c:v>
                </c:pt>
                <c:pt idx="901">
                  <c:v>2.8010000000000002</c:v>
                </c:pt>
                <c:pt idx="902">
                  <c:v>2.83</c:v>
                </c:pt>
                <c:pt idx="903">
                  <c:v>2.7530000000000001</c:v>
                </c:pt>
                <c:pt idx="904">
                  <c:v>2.8650000000000002</c:v>
                </c:pt>
                <c:pt idx="905">
                  <c:v>2.9350000000000001</c:v>
                </c:pt>
                <c:pt idx="906">
                  <c:v>2.8969999999999998</c:v>
                </c:pt>
                <c:pt idx="907">
                  <c:v>3.0329999999999999</c:v>
                </c:pt>
                <c:pt idx="908">
                  <c:v>3.024</c:v>
                </c:pt>
                <c:pt idx="909">
                  <c:v>3.0760000000000001</c:v>
                </c:pt>
                <c:pt idx="910">
                  <c:v>3.1080000000000001</c:v>
                </c:pt>
                <c:pt idx="911">
                  <c:v>3.2240000000000002</c:v>
                </c:pt>
                <c:pt idx="912">
                  <c:v>3.17</c:v>
                </c:pt>
                <c:pt idx="913">
                  <c:v>3.0350000000000001</c:v>
                </c:pt>
                <c:pt idx="914">
                  <c:v>3.0910000000000002</c:v>
                </c:pt>
                <c:pt idx="915">
                  <c:v>3.1419999999999999</c:v>
                </c:pt>
                <c:pt idx="916">
                  <c:v>3.2</c:v>
                </c:pt>
                <c:pt idx="917">
                  <c:v>3.3109999999999999</c:v>
                </c:pt>
                <c:pt idx="918">
                  <c:v>3.383</c:v>
                </c:pt>
                <c:pt idx="919">
                  <c:v>3.3809999999999998</c:v>
                </c:pt>
                <c:pt idx="920">
                  <c:v>3.43</c:v>
                </c:pt>
                <c:pt idx="921">
                  <c:v>3.34</c:v>
                </c:pt>
                <c:pt idx="922">
                  <c:v>3.4729999999999999</c:v>
                </c:pt>
                <c:pt idx="923">
                  <c:v>3.3860000000000001</c:v>
                </c:pt>
                <c:pt idx="924">
                  <c:v>3.3450000000000002</c:v>
                </c:pt>
                <c:pt idx="925">
                  <c:v>3.4260000000000002</c:v>
                </c:pt>
                <c:pt idx="926">
                  <c:v>3.3940000000000001</c:v>
                </c:pt>
                <c:pt idx="927">
                  <c:v>3.3860000000000001</c:v>
                </c:pt>
                <c:pt idx="928">
                  <c:v>3.379</c:v>
                </c:pt>
                <c:pt idx="929">
                  <c:v>3.42</c:v>
                </c:pt>
                <c:pt idx="930">
                  <c:v>3.2549999999999999</c:v>
                </c:pt>
                <c:pt idx="931">
                  <c:v>3.2730000000000001</c:v>
                </c:pt>
                <c:pt idx="932">
                  <c:v>3.3460000000000001</c:v>
                </c:pt>
                <c:pt idx="933">
                  <c:v>3.294</c:v>
                </c:pt>
                <c:pt idx="934">
                  <c:v>3.383</c:v>
                </c:pt>
                <c:pt idx="935">
                  <c:v>3.4540000000000002</c:v>
                </c:pt>
                <c:pt idx="936">
                  <c:v>3.5249999999999999</c:v>
                </c:pt>
                <c:pt idx="937">
                  <c:v>3.4780000000000002</c:v>
                </c:pt>
                <c:pt idx="938">
                  <c:v>3.4449999999999998</c:v>
                </c:pt>
                <c:pt idx="939">
                  <c:v>3.452</c:v>
                </c:pt>
                <c:pt idx="940">
                  <c:v>3.7160000000000002</c:v>
                </c:pt>
                <c:pt idx="941">
                  <c:v>3.839</c:v>
                </c:pt>
                <c:pt idx="942">
                  <c:v>3.8290000000000002</c:v>
                </c:pt>
                <c:pt idx="943">
                  <c:v>3.8580000000000001</c:v>
                </c:pt>
                <c:pt idx="944">
                  <c:v>3.7429999999999999</c:v>
                </c:pt>
                <c:pt idx="945">
                  <c:v>3.6859999999999999</c:v>
                </c:pt>
                <c:pt idx="946">
                  <c:v>3.4180000000000001</c:v>
                </c:pt>
                <c:pt idx="947">
                  <c:v>3.367</c:v>
                </c:pt>
                <c:pt idx="948">
                  <c:v>3.4910000000000001</c:v>
                </c:pt>
                <c:pt idx="949">
                  <c:v>3.56</c:v>
                </c:pt>
                <c:pt idx="950">
                  <c:v>3.5680000000000001</c:v>
                </c:pt>
                <c:pt idx="951">
                  <c:v>3.698</c:v>
                </c:pt>
                <c:pt idx="952">
                  <c:v>3.621</c:v>
                </c:pt>
                <c:pt idx="953">
                  <c:v>3.6280000000000001</c:v>
                </c:pt>
                <c:pt idx="954">
                  <c:v>3.6869999999999998</c:v>
                </c:pt>
                <c:pt idx="955">
                  <c:v>3.6930000000000001</c:v>
                </c:pt>
                <c:pt idx="956">
                  <c:v>3.6030000000000002</c:v>
                </c:pt>
                <c:pt idx="957">
                  <c:v>3.653</c:v>
                </c:pt>
                <c:pt idx="958">
                  <c:v>3.7730000000000001</c:v>
                </c:pt>
                <c:pt idx="959">
                  <c:v>3.907</c:v>
                </c:pt>
                <c:pt idx="960">
                  <c:v>3.7919999999999998</c:v>
                </c:pt>
                <c:pt idx="961">
                  <c:v>3.7330000000000001</c:v>
                </c:pt>
                <c:pt idx="962">
                  <c:v>3.621</c:v>
                </c:pt>
                <c:pt idx="963">
                  <c:v>3.52</c:v>
                </c:pt>
                <c:pt idx="964">
                  <c:v>3.427</c:v>
                </c:pt>
                <c:pt idx="965">
                  <c:v>3.4409999999999998</c:v>
                </c:pt>
                <c:pt idx="966">
                  <c:v>3.4129999999999998</c:v>
                </c:pt>
                <c:pt idx="967">
                  <c:v>3.5</c:v>
                </c:pt>
                <c:pt idx="968">
                  <c:v>3.6120000000000001</c:v>
                </c:pt>
                <c:pt idx="969">
                  <c:v>3.512</c:v>
                </c:pt>
                <c:pt idx="970">
                  <c:v>3.548</c:v>
                </c:pt>
                <c:pt idx="971">
                  <c:v>3.6920000000000002</c:v>
                </c:pt>
                <c:pt idx="972">
                  <c:v>3.5680000000000001</c:v>
                </c:pt>
                <c:pt idx="973">
                  <c:v>3.4209999999999998</c:v>
                </c:pt>
                <c:pt idx="974">
                  <c:v>3.3330000000000002</c:v>
                </c:pt>
                <c:pt idx="975">
                  <c:v>3.4329999999999998</c:v>
                </c:pt>
                <c:pt idx="976">
                  <c:v>3.45</c:v>
                </c:pt>
                <c:pt idx="977">
                  <c:v>3.415</c:v>
                </c:pt>
                <c:pt idx="978">
                  <c:v>3.339</c:v>
                </c:pt>
                <c:pt idx="979">
                  <c:v>3.35</c:v>
                </c:pt>
                <c:pt idx="980">
                  <c:v>3.3380000000000001</c:v>
                </c:pt>
                <c:pt idx="981">
                  <c:v>3.3519999999999999</c:v>
                </c:pt>
                <c:pt idx="982">
                  <c:v>3.371</c:v>
                </c:pt>
                <c:pt idx="983">
                  <c:v>3.3340000000000001</c:v>
                </c:pt>
                <c:pt idx="984">
                  <c:v>3.3650000000000002</c:v>
                </c:pt>
                <c:pt idx="985">
                  <c:v>3.298</c:v>
                </c:pt>
                <c:pt idx="986">
                  <c:v>3.36</c:v>
                </c:pt>
                <c:pt idx="987">
                  <c:v>3.266</c:v>
                </c:pt>
                <c:pt idx="988">
                  <c:v>3.2120000000000002</c:v>
                </c:pt>
                <c:pt idx="989">
                  <c:v>3.1309999999999998</c:v>
                </c:pt>
                <c:pt idx="990">
                  <c:v>3.1190000000000002</c:v>
                </c:pt>
                <c:pt idx="991">
                  <c:v>3.1789999999999998</c:v>
                </c:pt>
                <c:pt idx="992">
                  <c:v>3.1589999999999998</c:v>
                </c:pt>
                <c:pt idx="993">
                  <c:v>3.1549999999999998</c:v>
                </c:pt>
                <c:pt idx="994">
                  <c:v>3.1139999999999999</c:v>
                </c:pt>
                <c:pt idx="995">
                  <c:v>3.1749999999999998</c:v>
                </c:pt>
                <c:pt idx="996">
                  <c:v>3.2160000000000002</c:v>
                </c:pt>
                <c:pt idx="997">
                  <c:v>3.161</c:v>
                </c:pt>
                <c:pt idx="998">
                  <c:v>3.2440000000000002</c:v>
                </c:pt>
                <c:pt idx="999">
                  <c:v>3.2250000000000001</c:v>
                </c:pt>
                <c:pt idx="1000">
                  <c:v>3.3069999999999999</c:v>
                </c:pt>
                <c:pt idx="1001">
                  <c:v>3.4119999999999999</c:v>
                </c:pt>
                <c:pt idx="1002">
                  <c:v>3.3650000000000002</c:v>
                </c:pt>
                <c:pt idx="1003">
                  <c:v>3.4260000000000002</c:v>
                </c:pt>
                <c:pt idx="1004">
                  <c:v>3.472</c:v>
                </c:pt>
                <c:pt idx="1005">
                  <c:v>3.6970000000000001</c:v>
                </c:pt>
                <c:pt idx="1006">
                  <c:v>3.6720000000000002</c:v>
                </c:pt>
                <c:pt idx="1007">
                  <c:v>3.6819999999999999</c:v>
                </c:pt>
                <c:pt idx="1008">
                  <c:v>3.661</c:v>
                </c:pt>
                <c:pt idx="1009">
                  <c:v>3.601</c:v>
                </c:pt>
                <c:pt idx="1010">
                  <c:v>3.58</c:v>
                </c:pt>
                <c:pt idx="1011">
                  <c:v>3.5569999999999999</c:v>
                </c:pt>
                <c:pt idx="1012">
                  <c:v>3.4359999999999999</c:v>
                </c:pt>
                <c:pt idx="1013">
                  <c:v>3.43</c:v>
                </c:pt>
                <c:pt idx="1014">
                  <c:v>3.4449999999999998</c:v>
                </c:pt>
                <c:pt idx="1015">
                  <c:v>3.3039999999999998</c:v>
                </c:pt>
                <c:pt idx="1016">
                  <c:v>3.3159999999999998</c:v>
                </c:pt>
                <c:pt idx="1017">
                  <c:v>3.3140000000000001</c:v>
                </c:pt>
                <c:pt idx="1018">
                  <c:v>3.3079999999999998</c:v>
                </c:pt>
                <c:pt idx="1019">
                  <c:v>3.2519999999999998</c:v>
                </c:pt>
                <c:pt idx="1020">
                  <c:v>3.032</c:v>
                </c:pt>
                <c:pt idx="1021">
                  <c:v>3.0710000000000002</c:v>
                </c:pt>
                <c:pt idx="1022">
                  <c:v>3.121</c:v>
                </c:pt>
                <c:pt idx="1023">
                  <c:v>3.129</c:v>
                </c:pt>
                <c:pt idx="1024">
                  <c:v>3.206</c:v>
                </c:pt>
                <c:pt idx="1025">
                  <c:v>3.2719999999999998</c:v>
                </c:pt>
                <c:pt idx="1026">
                  <c:v>3.27</c:v>
                </c:pt>
                <c:pt idx="1027">
                  <c:v>3.27</c:v>
                </c:pt>
                <c:pt idx="1028">
                  <c:v>3.2839999999999998</c:v>
                </c:pt>
                <c:pt idx="1029">
                  <c:v>3.2120000000000002</c:v>
                </c:pt>
                <c:pt idx="1030">
                  <c:v>3.07</c:v>
                </c:pt>
                <c:pt idx="1031">
                  <c:v>3.17</c:v>
                </c:pt>
                <c:pt idx="1032">
                  <c:v>3.3210000000000002</c:v>
                </c:pt>
                <c:pt idx="1033">
                  <c:v>3.3330000000000002</c:v>
                </c:pt>
                <c:pt idx="1034">
                  <c:v>3.395</c:v>
                </c:pt>
                <c:pt idx="1035">
                  <c:v>3.4660000000000002</c:v>
                </c:pt>
                <c:pt idx="1036">
                  <c:v>3.5209999999999999</c:v>
                </c:pt>
                <c:pt idx="1037">
                  <c:v>3.5209999999999999</c:v>
                </c:pt>
                <c:pt idx="1038">
                  <c:v>3.5190000000000001</c:v>
                </c:pt>
                <c:pt idx="1039">
                  <c:v>3.5089999999999999</c:v>
                </c:pt>
                <c:pt idx="1040">
                  <c:v>3.5510000000000002</c:v>
                </c:pt>
                <c:pt idx="1041">
                  <c:v>3.5979999999999999</c:v>
                </c:pt>
                <c:pt idx="1042">
                  <c:v>3.6080000000000001</c:v>
                </c:pt>
                <c:pt idx="1043">
                  <c:v>3.6269999999999998</c:v>
                </c:pt>
                <c:pt idx="1044">
                  <c:v>3.649</c:v>
                </c:pt>
                <c:pt idx="1045">
                  <c:v>3.6120000000000001</c:v>
                </c:pt>
                <c:pt idx="1046">
                  <c:v>3.6819999999999999</c:v>
                </c:pt>
                <c:pt idx="1047">
                  <c:v>3.66</c:v>
                </c:pt>
                <c:pt idx="1048">
                  <c:v>3.5680000000000001</c:v>
                </c:pt>
                <c:pt idx="1049">
                  <c:v>3.609</c:v>
                </c:pt>
                <c:pt idx="1050">
                  <c:v>3.6349999999999998</c:v>
                </c:pt>
                <c:pt idx="1051">
                  <c:v>3.55</c:v>
                </c:pt>
                <c:pt idx="1052">
                  <c:v>3.411</c:v>
                </c:pt>
                <c:pt idx="1053">
                  <c:v>3.5059999999999998</c:v>
                </c:pt>
                <c:pt idx="1054">
                  <c:v>3.4780000000000002</c:v>
                </c:pt>
                <c:pt idx="1055">
                  <c:v>3.3809999999999998</c:v>
                </c:pt>
                <c:pt idx="1056">
                  <c:v>3.2669999999999999</c:v>
                </c:pt>
                <c:pt idx="1057">
                  <c:v>3.15</c:v>
                </c:pt>
                <c:pt idx="1058">
                  <c:v>3.1669999999999998</c:v>
                </c:pt>
                <c:pt idx="1059">
                  <c:v>2.968</c:v>
                </c:pt>
                <c:pt idx="1060">
                  <c:v>3.0960000000000001</c:v>
                </c:pt>
                <c:pt idx="1061">
                  <c:v>2.92</c:v>
                </c:pt>
                <c:pt idx="1062">
                  <c:v>2.9169999999999998</c:v>
                </c:pt>
                <c:pt idx="1063">
                  <c:v>3.0960000000000001</c:v>
                </c:pt>
                <c:pt idx="1064">
                  <c:v>3.0179999999999998</c:v>
                </c:pt>
                <c:pt idx="1065">
                  <c:v>2.9460000000000002</c:v>
                </c:pt>
                <c:pt idx="1066">
                  <c:v>2.899</c:v>
                </c:pt>
                <c:pt idx="1067">
                  <c:v>3.0009999999999999</c:v>
                </c:pt>
                <c:pt idx="1068">
                  <c:v>3.0030000000000001</c:v>
                </c:pt>
                <c:pt idx="1069">
                  <c:v>3.0680000000000001</c:v>
                </c:pt>
                <c:pt idx="1070">
                  <c:v>3.024</c:v>
                </c:pt>
                <c:pt idx="1071">
                  <c:v>3.052</c:v>
                </c:pt>
                <c:pt idx="1072">
                  <c:v>2.9590000000000001</c:v>
                </c:pt>
                <c:pt idx="1073">
                  <c:v>2.9529999999999998</c:v>
                </c:pt>
                <c:pt idx="1074">
                  <c:v>2.867</c:v>
                </c:pt>
                <c:pt idx="1075">
                  <c:v>2.9319999999999999</c:v>
                </c:pt>
                <c:pt idx="1076">
                  <c:v>2.9620000000000002</c:v>
                </c:pt>
                <c:pt idx="1077">
                  <c:v>2.9990000000000001</c:v>
                </c:pt>
                <c:pt idx="1078">
                  <c:v>3.012</c:v>
                </c:pt>
                <c:pt idx="1079">
                  <c:v>3.0409999999999999</c:v>
                </c:pt>
                <c:pt idx="1080">
                  <c:v>3.1480000000000001</c:v>
                </c:pt>
                <c:pt idx="1081">
                  <c:v>3.242</c:v>
                </c:pt>
                <c:pt idx="1082">
                  <c:v>3.23</c:v>
                </c:pt>
                <c:pt idx="1083">
                  <c:v>3.1850000000000001</c:v>
                </c:pt>
                <c:pt idx="1084">
                  <c:v>3.1859999999999999</c:v>
                </c:pt>
                <c:pt idx="1085">
                  <c:v>3.0150000000000001</c:v>
                </c:pt>
                <c:pt idx="1086">
                  <c:v>3.0920000000000001</c:v>
                </c:pt>
                <c:pt idx="1087">
                  <c:v>3.0649999999999999</c:v>
                </c:pt>
                <c:pt idx="1088">
                  <c:v>3.052</c:v>
                </c:pt>
                <c:pt idx="1089">
                  <c:v>3.2010000000000001</c:v>
                </c:pt>
                <c:pt idx="1090">
                  <c:v>3.1459999999999999</c:v>
                </c:pt>
                <c:pt idx="1091">
                  <c:v>3.0230000000000001</c:v>
                </c:pt>
                <c:pt idx="1092">
                  <c:v>3.01</c:v>
                </c:pt>
                <c:pt idx="1093">
                  <c:v>3.1110000000000002</c:v>
                </c:pt>
                <c:pt idx="1094">
                  <c:v>3.1379999999999999</c:v>
                </c:pt>
                <c:pt idx="1095">
                  <c:v>3.157</c:v>
                </c:pt>
                <c:pt idx="1096">
                  <c:v>3.097</c:v>
                </c:pt>
                <c:pt idx="1097">
                  <c:v>3.0390000000000001</c:v>
                </c:pt>
                <c:pt idx="1098">
                  <c:v>3.1230000000000002</c:v>
                </c:pt>
                <c:pt idx="1099">
                  <c:v>3.1120000000000001</c:v>
                </c:pt>
                <c:pt idx="1100">
                  <c:v>3.1320000000000001</c:v>
                </c:pt>
                <c:pt idx="1101">
                  <c:v>3.2029999999999998</c:v>
                </c:pt>
                <c:pt idx="1102">
                  <c:v>3.3260000000000001</c:v>
                </c:pt>
                <c:pt idx="1103">
                  <c:v>3.3069999999999999</c:v>
                </c:pt>
                <c:pt idx="1104">
                  <c:v>3.3780000000000001</c:v>
                </c:pt>
                <c:pt idx="1105">
                  <c:v>3.3460000000000001</c:v>
                </c:pt>
                <c:pt idx="1106">
                  <c:v>3.4079999999999999</c:v>
                </c:pt>
                <c:pt idx="1107">
                  <c:v>3.44</c:v>
                </c:pt>
                <c:pt idx="1108">
                  <c:v>3.4289999999999998</c:v>
                </c:pt>
                <c:pt idx="1109">
                  <c:v>3.431</c:v>
                </c:pt>
                <c:pt idx="1110">
                  <c:v>3.3610000000000002</c:v>
                </c:pt>
                <c:pt idx="1111">
                  <c:v>3.3660000000000001</c:v>
                </c:pt>
                <c:pt idx="1112">
                  <c:v>3.403</c:v>
                </c:pt>
                <c:pt idx="1113">
                  <c:v>3.54</c:v>
                </c:pt>
                <c:pt idx="1114">
                  <c:v>3.5990000000000002</c:v>
                </c:pt>
                <c:pt idx="1115">
                  <c:v>3.6440000000000001</c:v>
                </c:pt>
                <c:pt idx="1116">
                  <c:v>3.8279999999999998</c:v>
                </c:pt>
                <c:pt idx="1117">
                  <c:v>3.7789999999999999</c:v>
                </c:pt>
                <c:pt idx="1118">
                  <c:v>3.774</c:v>
                </c:pt>
                <c:pt idx="1119">
                  <c:v>3.8639999999999999</c:v>
                </c:pt>
                <c:pt idx="1120">
                  <c:v>3.9420000000000002</c:v>
                </c:pt>
                <c:pt idx="1121">
                  <c:v>3.9380000000000002</c:v>
                </c:pt>
                <c:pt idx="1122">
                  <c:v>3.9159999999999999</c:v>
                </c:pt>
                <c:pt idx="1123">
                  <c:v>3.8980000000000001</c:v>
                </c:pt>
                <c:pt idx="1124">
                  <c:v>3.863</c:v>
                </c:pt>
                <c:pt idx="1125">
                  <c:v>3.8849999999999998</c:v>
                </c:pt>
                <c:pt idx="1126">
                  <c:v>3.92</c:v>
                </c:pt>
                <c:pt idx="1127">
                  <c:v>3.8439999999999999</c:v>
                </c:pt>
                <c:pt idx="1128">
                  <c:v>3.827</c:v>
                </c:pt>
                <c:pt idx="1129">
                  <c:v>3.7759999999999998</c:v>
                </c:pt>
                <c:pt idx="1130">
                  <c:v>3.83</c:v>
                </c:pt>
                <c:pt idx="1131">
                  <c:v>3.9409999999999998</c:v>
                </c:pt>
                <c:pt idx="1132">
                  <c:v>3.8820000000000001</c:v>
                </c:pt>
                <c:pt idx="1133">
                  <c:v>3.919</c:v>
                </c:pt>
                <c:pt idx="1134">
                  <c:v>3.9180000000000001</c:v>
                </c:pt>
                <c:pt idx="1135">
                  <c:v>4.0490000000000004</c:v>
                </c:pt>
                <c:pt idx="1136">
                  <c:v>4.1769999999999996</c:v>
                </c:pt>
                <c:pt idx="1137">
                  <c:v>4.1660000000000004</c:v>
                </c:pt>
                <c:pt idx="1138">
                  <c:v>4.0679999999999996</c:v>
                </c:pt>
                <c:pt idx="1139">
                  <c:v>4.0220000000000002</c:v>
                </c:pt>
                <c:pt idx="1140">
                  <c:v>3.9140000000000001</c:v>
                </c:pt>
                <c:pt idx="1141">
                  <c:v>3.8580000000000001</c:v>
                </c:pt>
                <c:pt idx="1142">
                  <c:v>3.863</c:v>
                </c:pt>
                <c:pt idx="1143">
                  <c:v>3.8250000000000002</c:v>
                </c:pt>
                <c:pt idx="1144">
                  <c:v>3.7330000000000001</c:v>
                </c:pt>
                <c:pt idx="1145">
                  <c:v>3.83</c:v>
                </c:pt>
                <c:pt idx="1146">
                  <c:v>3.8759999999999999</c:v>
                </c:pt>
                <c:pt idx="1147">
                  <c:v>3.8460000000000001</c:v>
                </c:pt>
                <c:pt idx="1148">
                  <c:v>3.89</c:v>
                </c:pt>
                <c:pt idx="1149">
                  <c:v>3.835</c:v>
                </c:pt>
                <c:pt idx="1150">
                  <c:v>3.7480000000000002</c:v>
                </c:pt>
                <c:pt idx="1151">
                  <c:v>3.847</c:v>
                </c:pt>
                <c:pt idx="1152">
                  <c:v>3.82</c:v>
                </c:pt>
                <c:pt idx="1153">
                  <c:v>3.7090000000000001</c:v>
                </c:pt>
                <c:pt idx="1154">
                  <c:v>3.742</c:v>
                </c:pt>
                <c:pt idx="1155">
                  <c:v>3.782</c:v>
                </c:pt>
                <c:pt idx="1156">
                  <c:v>3.89</c:v>
                </c:pt>
                <c:pt idx="1157">
                  <c:v>3.831</c:v>
                </c:pt>
                <c:pt idx="1158">
                  <c:v>3.7450000000000001</c:v>
                </c:pt>
                <c:pt idx="1159">
                  <c:v>3.7320000000000002</c:v>
                </c:pt>
                <c:pt idx="1160">
                  <c:v>3.7789999999999999</c:v>
                </c:pt>
                <c:pt idx="1161">
                  <c:v>3.8370000000000002</c:v>
                </c:pt>
                <c:pt idx="1162">
                  <c:v>3.9209999999999998</c:v>
                </c:pt>
                <c:pt idx="1163">
                  <c:v>3.9849999999999999</c:v>
                </c:pt>
                <c:pt idx="1164">
                  <c:v>3.9369999999999998</c:v>
                </c:pt>
                <c:pt idx="1165">
                  <c:v>4.0149999999999997</c:v>
                </c:pt>
                <c:pt idx="1166">
                  <c:v>3.9359999999999999</c:v>
                </c:pt>
                <c:pt idx="1167">
                  <c:v>3.952</c:v>
                </c:pt>
                <c:pt idx="1168">
                  <c:v>3.964</c:v>
                </c:pt>
                <c:pt idx="1169">
                  <c:v>3.9159999999999999</c:v>
                </c:pt>
                <c:pt idx="1170">
                  <c:v>3.8420000000000001</c:v>
                </c:pt>
                <c:pt idx="1171">
                  <c:v>3.89</c:v>
                </c:pt>
                <c:pt idx="1172">
                  <c:v>3.8929999999999998</c:v>
                </c:pt>
                <c:pt idx="1173">
                  <c:v>3.8540000000000001</c:v>
                </c:pt>
                <c:pt idx="1174">
                  <c:v>3.819</c:v>
                </c:pt>
                <c:pt idx="1175">
                  <c:v>3.7629999999999999</c:v>
                </c:pt>
                <c:pt idx="1176">
                  <c:v>3.75</c:v>
                </c:pt>
                <c:pt idx="1177">
                  <c:v>3.827</c:v>
                </c:pt>
                <c:pt idx="1178">
                  <c:v>3.84</c:v>
                </c:pt>
                <c:pt idx="1179">
                  <c:v>3.8319999999999999</c:v>
                </c:pt>
                <c:pt idx="1180">
                  <c:v>3.8740000000000001</c:v>
                </c:pt>
                <c:pt idx="1181">
                  <c:v>3.806</c:v>
                </c:pt>
                <c:pt idx="1182">
                  <c:v>3.8639999999999999</c:v>
                </c:pt>
                <c:pt idx="1183">
                  <c:v>3.8740000000000001</c:v>
                </c:pt>
                <c:pt idx="1184">
                  <c:v>3.8780000000000001</c:v>
                </c:pt>
                <c:pt idx="1185">
                  <c:v>3.85</c:v>
                </c:pt>
                <c:pt idx="1186">
                  <c:v>3.85</c:v>
                </c:pt>
                <c:pt idx="1187">
                  <c:v>3.9329999999999998</c:v>
                </c:pt>
                <c:pt idx="1188">
                  <c:v>3.9089999999999998</c:v>
                </c:pt>
                <c:pt idx="1189">
                  <c:v>3.964</c:v>
                </c:pt>
                <c:pt idx="1190">
                  <c:v>4.0609999999999999</c:v>
                </c:pt>
                <c:pt idx="1191">
                  <c:v>4.0620000000000003</c:v>
                </c:pt>
                <c:pt idx="1192">
                  <c:v>4.0330000000000004</c:v>
                </c:pt>
                <c:pt idx="1193">
                  <c:v>4.0949999999999998</c:v>
                </c:pt>
                <c:pt idx="1194">
                  <c:v>4.07</c:v>
                </c:pt>
                <c:pt idx="1195">
                  <c:v>4.141</c:v>
                </c:pt>
                <c:pt idx="1196">
                  <c:v>4.1269999999999998</c:v>
                </c:pt>
                <c:pt idx="1197">
                  <c:v>4.149</c:v>
                </c:pt>
                <c:pt idx="1198">
                  <c:v>4.2290000000000001</c:v>
                </c:pt>
                <c:pt idx="1199">
                  <c:v>4.1289999999999996</c:v>
                </c:pt>
                <c:pt idx="1200">
                  <c:v>4.0970000000000004</c:v>
                </c:pt>
                <c:pt idx="1201">
                  <c:v>4.0590000000000002</c:v>
                </c:pt>
                <c:pt idx="1202">
                  <c:v>4.024</c:v>
                </c:pt>
                <c:pt idx="1203">
                  <c:v>4.0309999999999997</c:v>
                </c:pt>
                <c:pt idx="1204">
                  <c:v>3.9969999999999999</c:v>
                </c:pt>
                <c:pt idx="1205">
                  <c:v>4.0490000000000004</c:v>
                </c:pt>
                <c:pt idx="1206">
                  <c:v>4.0570000000000004</c:v>
                </c:pt>
                <c:pt idx="1207">
                  <c:v>4.1849999999999996</c:v>
                </c:pt>
                <c:pt idx="1208">
                  <c:v>4.2750000000000004</c:v>
                </c:pt>
                <c:pt idx="1209">
                  <c:v>4.3680000000000003</c:v>
                </c:pt>
                <c:pt idx="1210">
                  <c:v>4.3440000000000003</c:v>
                </c:pt>
                <c:pt idx="1211">
                  <c:v>4.3620000000000001</c:v>
                </c:pt>
                <c:pt idx="1212">
                  <c:v>4.2869999999999999</c:v>
                </c:pt>
                <c:pt idx="1213">
                  <c:v>4.3639999999999999</c:v>
                </c:pt>
                <c:pt idx="1214">
                  <c:v>4.47</c:v>
                </c:pt>
                <c:pt idx="1215">
                  <c:v>4.4370000000000003</c:v>
                </c:pt>
                <c:pt idx="1216">
                  <c:v>4.4870000000000001</c:v>
                </c:pt>
                <c:pt idx="1217">
                  <c:v>4.53</c:v>
                </c:pt>
                <c:pt idx="1218">
                  <c:v>4.5369999999999999</c:v>
                </c:pt>
                <c:pt idx="1219">
                  <c:v>4.4119999999999999</c:v>
                </c:pt>
                <c:pt idx="1220">
                  <c:v>4.3689999999999998</c:v>
                </c:pt>
                <c:pt idx="1221">
                  <c:v>4.3620000000000001</c:v>
                </c:pt>
                <c:pt idx="1222">
                  <c:v>4.335</c:v>
                </c:pt>
                <c:pt idx="1223">
                  <c:v>4.24</c:v>
                </c:pt>
                <c:pt idx="1224">
                  <c:v>4.218</c:v>
                </c:pt>
                <c:pt idx="1225">
                  <c:v>4.3029999999999999</c:v>
                </c:pt>
                <c:pt idx="1226">
                  <c:v>4.3520000000000003</c:v>
                </c:pt>
                <c:pt idx="1227">
                  <c:v>4.351</c:v>
                </c:pt>
                <c:pt idx="1228">
                  <c:v>4.2270000000000003</c:v>
                </c:pt>
                <c:pt idx="1229">
                  <c:v>4.2309999999999999</c:v>
                </c:pt>
                <c:pt idx="1230">
                  <c:v>4.141</c:v>
                </c:pt>
                <c:pt idx="1231">
                  <c:v>4.181</c:v>
                </c:pt>
                <c:pt idx="1232">
                  <c:v>4.1420000000000003</c:v>
                </c:pt>
                <c:pt idx="1233">
                  <c:v>4.1369999999999996</c:v>
                </c:pt>
                <c:pt idx="1234">
                  <c:v>4.1879999999999997</c:v>
                </c:pt>
                <c:pt idx="1235">
                  <c:v>4.24</c:v>
                </c:pt>
                <c:pt idx="1236">
                  <c:v>4.2679999999999998</c:v>
                </c:pt>
                <c:pt idx="1237">
                  <c:v>4.2069999999999999</c:v>
                </c:pt>
                <c:pt idx="1238">
                  <c:v>4.0609999999999999</c:v>
                </c:pt>
                <c:pt idx="1239">
                  <c:v>4.0739999999999998</c:v>
                </c:pt>
                <c:pt idx="1240">
                  <c:v>4.1390000000000002</c:v>
                </c:pt>
                <c:pt idx="1241">
                  <c:v>4.0999999999999996</c:v>
                </c:pt>
                <c:pt idx="1242">
                  <c:v>4.056</c:v>
                </c:pt>
                <c:pt idx="1243">
                  <c:v>3.9369999999999998</c:v>
                </c:pt>
                <c:pt idx="1244">
                  <c:v>3.9740000000000002</c:v>
                </c:pt>
                <c:pt idx="1245">
                  <c:v>3.956</c:v>
                </c:pt>
                <c:pt idx="1246">
                  <c:v>4.0060000000000002</c:v>
                </c:pt>
                <c:pt idx="1247">
                  <c:v>3.996</c:v>
                </c:pt>
                <c:pt idx="1248">
                  <c:v>3.9809999999999999</c:v>
                </c:pt>
                <c:pt idx="1249">
                  <c:v>3.7989999999999999</c:v>
                </c:pt>
                <c:pt idx="1250">
                  <c:v>3.8260000000000001</c:v>
                </c:pt>
                <c:pt idx="1251">
                  <c:v>3.7360000000000002</c:v>
                </c:pt>
                <c:pt idx="1252">
                  <c:v>3.7949999999999999</c:v>
                </c:pt>
                <c:pt idx="1253">
                  <c:v>3.738</c:v>
                </c:pt>
                <c:pt idx="1254">
                  <c:v>3.702</c:v>
                </c:pt>
                <c:pt idx="1255">
                  <c:v>3.698</c:v>
                </c:pt>
                <c:pt idx="1256">
                  <c:v>3.6560000000000001</c:v>
                </c:pt>
                <c:pt idx="1257">
                  <c:v>3.5990000000000002</c:v>
                </c:pt>
                <c:pt idx="1258">
                  <c:v>3.645</c:v>
                </c:pt>
                <c:pt idx="1259">
                  <c:v>3.6760000000000002</c:v>
                </c:pt>
                <c:pt idx="1260">
                  <c:v>3.7410000000000001</c:v>
                </c:pt>
                <c:pt idx="1261">
                  <c:v>3.7429999999999999</c:v>
                </c:pt>
                <c:pt idx="1262">
                  <c:v>3.8149999999999999</c:v>
                </c:pt>
                <c:pt idx="1263">
                  <c:v>3.851</c:v>
                </c:pt>
                <c:pt idx="1264">
                  <c:v>3.7869999999999999</c:v>
                </c:pt>
                <c:pt idx="1265">
                  <c:v>3.7970000000000002</c:v>
                </c:pt>
                <c:pt idx="1266">
                  <c:v>3.7890000000000001</c:v>
                </c:pt>
                <c:pt idx="1267">
                  <c:v>3.7360000000000002</c:v>
                </c:pt>
                <c:pt idx="1268">
                  <c:v>3.7240000000000002</c:v>
                </c:pt>
                <c:pt idx="1269">
                  <c:v>3.7919999999999998</c:v>
                </c:pt>
                <c:pt idx="1270">
                  <c:v>3.8479999999999999</c:v>
                </c:pt>
                <c:pt idx="1271">
                  <c:v>3.9049999999999998</c:v>
                </c:pt>
                <c:pt idx="1272">
                  <c:v>3.9249999999999998</c:v>
                </c:pt>
                <c:pt idx="1273">
                  <c:v>3.8889999999999998</c:v>
                </c:pt>
                <c:pt idx="1274">
                  <c:v>3.8370000000000002</c:v>
                </c:pt>
                <c:pt idx="1275">
                  <c:v>3.863</c:v>
                </c:pt>
                <c:pt idx="1276">
                  <c:v>3.8650000000000002</c:v>
                </c:pt>
                <c:pt idx="1277">
                  <c:v>3.8210000000000002</c:v>
                </c:pt>
                <c:pt idx="1278">
                  <c:v>3.7679999999999998</c:v>
                </c:pt>
                <c:pt idx="1279">
                  <c:v>3.6240000000000001</c:v>
                </c:pt>
                <c:pt idx="1280">
                  <c:v>3.63</c:v>
                </c:pt>
                <c:pt idx="1281">
                  <c:v>3.6120000000000001</c:v>
                </c:pt>
                <c:pt idx="1282">
                  <c:v>3.7370000000000001</c:v>
                </c:pt>
                <c:pt idx="1283">
                  <c:v>3.7559999999999998</c:v>
                </c:pt>
                <c:pt idx="1284">
                  <c:v>3.714</c:v>
                </c:pt>
                <c:pt idx="1285">
                  <c:v>3.7349999999999999</c:v>
                </c:pt>
                <c:pt idx="1286">
                  <c:v>3.7610000000000001</c:v>
                </c:pt>
                <c:pt idx="1287">
                  <c:v>3.8149999999999999</c:v>
                </c:pt>
                <c:pt idx="1288">
                  <c:v>3.8250000000000002</c:v>
                </c:pt>
                <c:pt idx="1289">
                  <c:v>3.9180000000000001</c:v>
                </c:pt>
                <c:pt idx="1290">
                  <c:v>3.7879999999999998</c:v>
                </c:pt>
                <c:pt idx="1291">
                  <c:v>3.843</c:v>
                </c:pt>
                <c:pt idx="1292">
                  <c:v>3.823</c:v>
                </c:pt>
                <c:pt idx="1293">
                  <c:v>3.819</c:v>
                </c:pt>
                <c:pt idx="1294">
                  <c:v>3.8</c:v>
                </c:pt>
                <c:pt idx="1295">
                  <c:v>3.8029999999999999</c:v>
                </c:pt>
                <c:pt idx="1296">
                  <c:v>3.851</c:v>
                </c:pt>
                <c:pt idx="1297">
                  <c:v>3.7719999999999998</c:v>
                </c:pt>
                <c:pt idx="1298">
                  <c:v>3.786</c:v>
                </c:pt>
                <c:pt idx="1299">
                  <c:v>3.8029999999999999</c:v>
                </c:pt>
                <c:pt idx="1300">
                  <c:v>3.774</c:v>
                </c:pt>
                <c:pt idx="1301">
                  <c:v>3.782</c:v>
                </c:pt>
                <c:pt idx="1302">
                  <c:v>3.7519999999999998</c:v>
                </c:pt>
                <c:pt idx="1303">
                  <c:v>3.7480000000000002</c:v>
                </c:pt>
                <c:pt idx="1304">
                  <c:v>3.6829999999999998</c:v>
                </c:pt>
                <c:pt idx="1305">
                  <c:v>3.6909999999999998</c:v>
                </c:pt>
                <c:pt idx="1306">
                  <c:v>3.66</c:v>
                </c:pt>
                <c:pt idx="1307">
                  <c:v>3.6419999999999999</c:v>
                </c:pt>
                <c:pt idx="1308">
                  <c:v>3.6440000000000001</c:v>
                </c:pt>
                <c:pt idx="1309">
                  <c:v>3.7120000000000002</c:v>
                </c:pt>
                <c:pt idx="1310">
                  <c:v>3.7480000000000002</c:v>
                </c:pt>
                <c:pt idx="1311">
                  <c:v>3.8130000000000002</c:v>
                </c:pt>
                <c:pt idx="1312">
                  <c:v>3.8050000000000002</c:v>
                </c:pt>
                <c:pt idx="1313">
                  <c:v>3.7440000000000002</c:v>
                </c:pt>
                <c:pt idx="1314">
                  <c:v>3.7130000000000001</c:v>
                </c:pt>
                <c:pt idx="1315">
                  <c:v>3.7559999999999998</c:v>
                </c:pt>
                <c:pt idx="1316">
                  <c:v>3.7120000000000002</c:v>
                </c:pt>
                <c:pt idx="1317">
                  <c:v>3.6819999999999999</c:v>
                </c:pt>
                <c:pt idx="1318">
                  <c:v>3.6920000000000002</c:v>
                </c:pt>
                <c:pt idx="1319">
                  <c:v>3.6680000000000001</c:v>
                </c:pt>
                <c:pt idx="1320">
                  <c:v>3.633</c:v>
                </c:pt>
                <c:pt idx="1321">
                  <c:v>3.7109999999999999</c:v>
                </c:pt>
                <c:pt idx="1322">
                  <c:v>3.7730000000000001</c:v>
                </c:pt>
                <c:pt idx="1323">
                  <c:v>3.8039999999999998</c:v>
                </c:pt>
                <c:pt idx="1324">
                  <c:v>3.74</c:v>
                </c:pt>
                <c:pt idx="1325">
                  <c:v>3.8239999999999998</c:v>
                </c:pt>
                <c:pt idx="1326">
                  <c:v>3.7949999999999999</c:v>
                </c:pt>
                <c:pt idx="1327">
                  <c:v>3.758</c:v>
                </c:pt>
                <c:pt idx="1328">
                  <c:v>3.8940000000000001</c:v>
                </c:pt>
                <c:pt idx="1329">
                  <c:v>3.911</c:v>
                </c:pt>
                <c:pt idx="1330">
                  <c:v>3.903</c:v>
                </c:pt>
                <c:pt idx="1331">
                  <c:v>3.9580000000000002</c:v>
                </c:pt>
                <c:pt idx="1332">
                  <c:v>4.0179999999999998</c:v>
                </c:pt>
                <c:pt idx="1333">
                  <c:v>3.93</c:v>
                </c:pt>
                <c:pt idx="1334">
                  <c:v>3.8959999999999999</c:v>
                </c:pt>
                <c:pt idx="1335">
                  <c:v>3.9569999999999999</c:v>
                </c:pt>
                <c:pt idx="1336">
                  <c:v>3.9129999999999998</c:v>
                </c:pt>
                <c:pt idx="1337">
                  <c:v>4.0890000000000004</c:v>
                </c:pt>
                <c:pt idx="1338">
                  <c:v>4.2030000000000003</c:v>
                </c:pt>
                <c:pt idx="1339">
                  <c:v>4.1710000000000003</c:v>
                </c:pt>
                <c:pt idx="1340">
                  <c:v>4.0979999999999999</c:v>
                </c:pt>
                <c:pt idx="1341">
                  <c:v>4.1779999999999999</c:v>
                </c:pt>
                <c:pt idx="1342">
                  <c:v>4.1269999999999998</c:v>
                </c:pt>
                <c:pt idx="1343">
                  <c:v>4.0960000000000001</c:v>
                </c:pt>
                <c:pt idx="1344">
                  <c:v>4.0810000000000004</c:v>
                </c:pt>
                <c:pt idx="1345">
                  <c:v>3.976</c:v>
                </c:pt>
                <c:pt idx="1346">
                  <c:v>3.9870000000000001</c:v>
                </c:pt>
                <c:pt idx="1347">
                  <c:v>4.0389999999999997</c:v>
                </c:pt>
                <c:pt idx="1348">
                  <c:v>4.0170000000000003</c:v>
                </c:pt>
                <c:pt idx="1349">
                  <c:v>4.016</c:v>
                </c:pt>
                <c:pt idx="1350">
                  <c:v>4.01</c:v>
                </c:pt>
                <c:pt idx="1351">
                  <c:v>4.0049999999999999</c:v>
                </c:pt>
                <c:pt idx="1352">
                  <c:v>3.8820000000000001</c:v>
                </c:pt>
                <c:pt idx="1353">
                  <c:v>3.8940000000000001</c:v>
                </c:pt>
                <c:pt idx="1354">
                  <c:v>3.9249999999999998</c:v>
                </c:pt>
                <c:pt idx="1355">
                  <c:v>3.9390000000000001</c:v>
                </c:pt>
                <c:pt idx="1356">
                  <c:v>3.976</c:v>
                </c:pt>
                <c:pt idx="1357">
                  <c:v>3.9620000000000002</c:v>
                </c:pt>
                <c:pt idx="1358">
                  <c:v>4.0140000000000002</c:v>
                </c:pt>
                <c:pt idx="1359">
                  <c:v>3.9950000000000001</c:v>
                </c:pt>
                <c:pt idx="1360">
                  <c:v>3.9860000000000002</c:v>
                </c:pt>
                <c:pt idx="1361">
                  <c:v>4.1120000000000001</c:v>
                </c:pt>
                <c:pt idx="1362">
                  <c:v>4.1319999999999997</c:v>
                </c:pt>
                <c:pt idx="1363">
                  <c:v>4.1020000000000003</c:v>
                </c:pt>
                <c:pt idx="1364">
                  <c:v>4.0720000000000001</c:v>
                </c:pt>
                <c:pt idx="1365">
                  <c:v>4.0190000000000001</c:v>
                </c:pt>
                <c:pt idx="1366">
                  <c:v>3.9729999999999999</c:v>
                </c:pt>
                <c:pt idx="1367">
                  <c:v>3.952</c:v>
                </c:pt>
                <c:pt idx="1368">
                  <c:v>3.94</c:v>
                </c:pt>
                <c:pt idx="1369">
                  <c:v>4.0270000000000001</c:v>
                </c:pt>
                <c:pt idx="1370">
                  <c:v>3.992</c:v>
                </c:pt>
                <c:pt idx="1371">
                  <c:v>3.9239999999999999</c:v>
                </c:pt>
                <c:pt idx="1372">
                  <c:v>3.8580000000000001</c:v>
                </c:pt>
                <c:pt idx="1373">
                  <c:v>3.839</c:v>
                </c:pt>
                <c:pt idx="1374">
                  <c:v>3.8879999999999999</c:v>
                </c:pt>
                <c:pt idx="1375">
                  <c:v>3.9289999999999998</c:v>
                </c:pt>
                <c:pt idx="1376">
                  <c:v>3.9470000000000001</c:v>
                </c:pt>
                <c:pt idx="1377">
                  <c:v>3.9430000000000001</c:v>
                </c:pt>
                <c:pt idx="1378">
                  <c:v>3.956</c:v>
                </c:pt>
                <c:pt idx="1379">
                  <c:v>3.9409999999999998</c:v>
                </c:pt>
                <c:pt idx="1380">
                  <c:v>4.0970000000000004</c:v>
                </c:pt>
                <c:pt idx="1381">
                  <c:v>4.1680000000000001</c:v>
                </c:pt>
                <c:pt idx="1382">
                  <c:v>4.077</c:v>
                </c:pt>
                <c:pt idx="1383">
                  <c:v>4.1349999999999998</c:v>
                </c:pt>
                <c:pt idx="1384">
                  <c:v>4.1470000000000002</c:v>
                </c:pt>
                <c:pt idx="1385">
                  <c:v>4.1660000000000004</c:v>
                </c:pt>
                <c:pt idx="1386">
                  <c:v>4.1630000000000003</c:v>
                </c:pt>
                <c:pt idx="1387">
                  <c:v>4.165</c:v>
                </c:pt>
                <c:pt idx="1388">
                  <c:v>4.125</c:v>
                </c:pt>
                <c:pt idx="1389">
                  <c:v>4.1139999999999999</c:v>
                </c:pt>
                <c:pt idx="1390">
                  <c:v>4.0910000000000002</c:v>
                </c:pt>
                <c:pt idx="1391">
                  <c:v>4.1189999999999998</c:v>
                </c:pt>
                <c:pt idx="1392">
                  <c:v>4.0659999999999998</c:v>
                </c:pt>
                <c:pt idx="1393">
                  <c:v>4.0629999999999997</c:v>
                </c:pt>
                <c:pt idx="1394">
                  <c:v>3.9830000000000001</c:v>
                </c:pt>
                <c:pt idx="1395">
                  <c:v>3.9820000000000002</c:v>
                </c:pt>
                <c:pt idx="1396">
                  <c:v>3.9910000000000001</c:v>
                </c:pt>
                <c:pt idx="1397">
                  <c:v>4.0149999999999997</c:v>
                </c:pt>
                <c:pt idx="1398">
                  <c:v>4.03</c:v>
                </c:pt>
                <c:pt idx="1399">
                  <c:v>4.07</c:v>
                </c:pt>
                <c:pt idx="1400">
                  <c:v>4.0540000000000003</c:v>
                </c:pt>
                <c:pt idx="1401">
                  <c:v>4.0060000000000002</c:v>
                </c:pt>
                <c:pt idx="1402">
                  <c:v>4.0030000000000001</c:v>
                </c:pt>
                <c:pt idx="1403">
                  <c:v>3.99</c:v>
                </c:pt>
                <c:pt idx="1404">
                  <c:v>3.9969999999999999</c:v>
                </c:pt>
                <c:pt idx="1405">
                  <c:v>3.79</c:v>
                </c:pt>
                <c:pt idx="1406">
                  <c:v>3.7690000000000001</c:v>
                </c:pt>
                <c:pt idx="1407">
                  <c:v>3.7229999999999999</c:v>
                </c:pt>
                <c:pt idx="1408">
                  <c:v>3.6269999999999998</c:v>
                </c:pt>
                <c:pt idx="1409">
                  <c:v>3.69</c:v>
                </c:pt>
                <c:pt idx="1410">
                  <c:v>3.74</c:v>
                </c:pt>
                <c:pt idx="1411">
                  <c:v>3.7189999999999999</c:v>
                </c:pt>
                <c:pt idx="1412">
                  <c:v>3.7240000000000002</c:v>
                </c:pt>
                <c:pt idx="1413">
                  <c:v>3.726</c:v>
                </c:pt>
                <c:pt idx="1414">
                  <c:v>3.6850000000000001</c:v>
                </c:pt>
                <c:pt idx="1415">
                  <c:v>3.5910000000000002</c:v>
                </c:pt>
                <c:pt idx="1416">
                  <c:v>3.5550000000000002</c:v>
                </c:pt>
                <c:pt idx="1417">
                  <c:v>3.617</c:v>
                </c:pt>
                <c:pt idx="1418">
                  <c:v>3.6030000000000002</c:v>
                </c:pt>
                <c:pt idx="1419">
                  <c:v>3.641</c:v>
                </c:pt>
                <c:pt idx="1420">
                  <c:v>3.5790000000000002</c:v>
                </c:pt>
                <c:pt idx="1421">
                  <c:v>3.5640000000000001</c:v>
                </c:pt>
                <c:pt idx="1422">
                  <c:v>3.6019999999999999</c:v>
                </c:pt>
                <c:pt idx="1423">
                  <c:v>3.5169999999999999</c:v>
                </c:pt>
                <c:pt idx="1424">
                  <c:v>3.5760000000000001</c:v>
                </c:pt>
                <c:pt idx="1425">
                  <c:v>3.6059999999999999</c:v>
                </c:pt>
                <c:pt idx="1426">
                  <c:v>3.6160000000000001</c:v>
                </c:pt>
                <c:pt idx="1427">
                  <c:v>3.6160000000000001</c:v>
                </c:pt>
                <c:pt idx="1428">
                  <c:v>3.6680000000000001</c:v>
                </c:pt>
                <c:pt idx="1429">
                  <c:v>3.6560000000000001</c:v>
                </c:pt>
                <c:pt idx="1430">
                  <c:v>3.6160000000000001</c:v>
                </c:pt>
                <c:pt idx="1431">
                  <c:v>3.585</c:v>
                </c:pt>
                <c:pt idx="1432">
                  <c:v>3.5419999999999998</c:v>
                </c:pt>
                <c:pt idx="1433">
                  <c:v>3.6</c:v>
                </c:pt>
                <c:pt idx="1434">
                  <c:v>3.5649999999999999</c:v>
                </c:pt>
                <c:pt idx="1435">
                  <c:v>3.5169999999999999</c:v>
                </c:pt>
                <c:pt idx="1436">
                  <c:v>3.5350000000000001</c:v>
                </c:pt>
                <c:pt idx="1437">
                  <c:v>3.4710000000000001</c:v>
                </c:pt>
                <c:pt idx="1438">
                  <c:v>3.448</c:v>
                </c:pt>
                <c:pt idx="1439">
                  <c:v>3.4710000000000001</c:v>
                </c:pt>
                <c:pt idx="1440">
                  <c:v>3.504</c:v>
                </c:pt>
                <c:pt idx="1441">
                  <c:v>3.577</c:v>
                </c:pt>
                <c:pt idx="1442">
                  <c:v>3.56</c:v>
                </c:pt>
                <c:pt idx="1443">
                  <c:v>3.6019999999999999</c:v>
                </c:pt>
                <c:pt idx="1444">
                  <c:v>3.5049999999999999</c:v>
                </c:pt>
                <c:pt idx="1445">
                  <c:v>3.5339999999999998</c:v>
                </c:pt>
                <c:pt idx="1446">
                  <c:v>3.5710000000000002</c:v>
                </c:pt>
                <c:pt idx="1447">
                  <c:v>3.5990000000000002</c:v>
                </c:pt>
                <c:pt idx="1448">
                  <c:v>3.6120000000000001</c:v>
                </c:pt>
                <c:pt idx="1449">
                  <c:v>3.6349999999999998</c:v>
                </c:pt>
                <c:pt idx="1450">
                  <c:v>3.5819999999999999</c:v>
                </c:pt>
                <c:pt idx="1451">
                  <c:v>3.6280000000000001</c:v>
                </c:pt>
                <c:pt idx="1452">
                  <c:v>3.698</c:v>
                </c:pt>
                <c:pt idx="1453">
                  <c:v>3.8079999999999998</c:v>
                </c:pt>
                <c:pt idx="1454">
                  <c:v>3.8220000000000001</c:v>
                </c:pt>
                <c:pt idx="1455">
                  <c:v>3.8660000000000001</c:v>
                </c:pt>
                <c:pt idx="1456">
                  <c:v>3.859</c:v>
                </c:pt>
                <c:pt idx="1457">
                  <c:v>3.8929999999999998</c:v>
                </c:pt>
                <c:pt idx="1458">
                  <c:v>3.8809999999999998</c:v>
                </c:pt>
                <c:pt idx="1459">
                  <c:v>3.8380000000000001</c:v>
                </c:pt>
                <c:pt idx="1460">
                  <c:v>3.8879999999999999</c:v>
                </c:pt>
                <c:pt idx="1461">
                  <c:v>3.9279999999999999</c:v>
                </c:pt>
                <c:pt idx="1462">
                  <c:v>3.8959999999999999</c:v>
                </c:pt>
                <c:pt idx="1463">
                  <c:v>4.0199999999999996</c:v>
                </c:pt>
                <c:pt idx="1464">
                  <c:v>4.0519999999999996</c:v>
                </c:pt>
                <c:pt idx="1465">
                  <c:v>4.0330000000000004</c:v>
                </c:pt>
                <c:pt idx="1466">
                  <c:v>4.0030000000000001</c:v>
                </c:pt>
                <c:pt idx="1467">
                  <c:v>4.0739999999999998</c:v>
                </c:pt>
                <c:pt idx="1468">
                  <c:v>4.0439999999999996</c:v>
                </c:pt>
                <c:pt idx="1469">
                  <c:v>4.0629999999999997</c:v>
                </c:pt>
                <c:pt idx="1470">
                  <c:v>4.1159999999999997</c:v>
                </c:pt>
                <c:pt idx="1471">
                  <c:v>4.1449999999999996</c:v>
                </c:pt>
                <c:pt idx="1472">
                  <c:v>4.1500000000000004</c:v>
                </c:pt>
                <c:pt idx="1473">
                  <c:v>4.1829999999999998</c:v>
                </c:pt>
                <c:pt idx="1474">
                  <c:v>4.2350000000000003</c:v>
                </c:pt>
                <c:pt idx="1475">
                  <c:v>4.2370000000000001</c:v>
                </c:pt>
                <c:pt idx="1476">
                  <c:v>4.1829999999999998</c:v>
                </c:pt>
                <c:pt idx="1477">
                  <c:v>4.1980000000000004</c:v>
                </c:pt>
                <c:pt idx="1478">
                  <c:v>4.202</c:v>
                </c:pt>
                <c:pt idx="1479">
                  <c:v>4.3120000000000003</c:v>
                </c:pt>
                <c:pt idx="1480">
                  <c:v>4.3090000000000002</c:v>
                </c:pt>
                <c:pt idx="1481">
                  <c:v>4.2619999999999996</c:v>
                </c:pt>
                <c:pt idx="1482">
                  <c:v>4.2169999999999996</c:v>
                </c:pt>
                <c:pt idx="1483">
                  <c:v>4.1769999999999996</c:v>
                </c:pt>
                <c:pt idx="1484">
                  <c:v>4.1719999999999997</c:v>
                </c:pt>
                <c:pt idx="1485">
                  <c:v>4.1989999999999998</c:v>
                </c:pt>
                <c:pt idx="1486">
                  <c:v>4.16</c:v>
                </c:pt>
                <c:pt idx="1487">
                  <c:v>4.1150000000000002</c:v>
                </c:pt>
                <c:pt idx="1488">
                  <c:v>4.0670000000000002</c:v>
                </c:pt>
                <c:pt idx="1489">
                  <c:v>4.0449999999999999</c:v>
                </c:pt>
                <c:pt idx="1490">
                  <c:v>3.9849999999999999</c:v>
                </c:pt>
                <c:pt idx="1491">
                  <c:v>3.9750000000000001</c:v>
                </c:pt>
                <c:pt idx="1492">
                  <c:v>3.9870000000000001</c:v>
                </c:pt>
                <c:pt idx="1493">
                  <c:v>3.9670000000000001</c:v>
                </c:pt>
                <c:pt idx="1494">
                  <c:v>3.9020000000000001</c:v>
                </c:pt>
                <c:pt idx="1495">
                  <c:v>3.879</c:v>
                </c:pt>
                <c:pt idx="1496">
                  <c:v>3.871</c:v>
                </c:pt>
                <c:pt idx="1497">
                  <c:v>3.851</c:v>
                </c:pt>
                <c:pt idx="1498">
                  <c:v>3.7759999999999998</c:v>
                </c:pt>
                <c:pt idx="1499">
                  <c:v>3.8039999999999998</c:v>
                </c:pt>
                <c:pt idx="1500">
                  <c:v>3.9079999999999999</c:v>
                </c:pt>
                <c:pt idx="1501">
                  <c:v>3.923</c:v>
                </c:pt>
                <c:pt idx="1502">
                  <c:v>3.952</c:v>
                </c:pt>
                <c:pt idx="1503">
                  <c:v>3.9249999999999998</c:v>
                </c:pt>
                <c:pt idx="1504">
                  <c:v>3.8969999999999998</c:v>
                </c:pt>
                <c:pt idx="1505">
                  <c:v>4.0350000000000001</c:v>
                </c:pt>
                <c:pt idx="1506">
                  <c:v>4.0780000000000003</c:v>
                </c:pt>
                <c:pt idx="1507">
                  <c:v>4.0049999999999999</c:v>
                </c:pt>
                <c:pt idx="1508">
                  <c:v>4.0119999999999996</c:v>
                </c:pt>
                <c:pt idx="1509">
                  <c:v>3.9529999999999998</c:v>
                </c:pt>
                <c:pt idx="1510">
                  <c:v>4.0209999999999999</c:v>
                </c:pt>
                <c:pt idx="1511">
                  <c:v>3.9359999999999999</c:v>
                </c:pt>
                <c:pt idx="1512">
                  <c:v>3.9889999999999999</c:v>
                </c:pt>
                <c:pt idx="1513">
                  <c:v>3.9569999999999999</c:v>
                </c:pt>
                <c:pt idx="1514">
                  <c:v>4.0380000000000003</c:v>
                </c:pt>
                <c:pt idx="1515">
                  <c:v>4.0549999999999997</c:v>
                </c:pt>
                <c:pt idx="1516">
                  <c:v>4.0449999999999999</c:v>
                </c:pt>
                <c:pt idx="1517">
                  <c:v>4.0289999999999999</c:v>
                </c:pt>
                <c:pt idx="1518">
                  <c:v>4.0730000000000004</c:v>
                </c:pt>
                <c:pt idx="1519">
                  <c:v>4.1920000000000002</c:v>
                </c:pt>
                <c:pt idx="1520">
                  <c:v>4.1719999999999997</c:v>
                </c:pt>
                <c:pt idx="1521">
                  <c:v>4.1749999999999998</c:v>
                </c:pt>
                <c:pt idx="1522">
                  <c:v>4.07</c:v>
                </c:pt>
                <c:pt idx="1523">
                  <c:v>4.08</c:v>
                </c:pt>
                <c:pt idx="1524">
                  <c:v>4.0519999999999996</c:v>
                </c:pt>
                <c:pt idx="1525">
                  <c:v>3.9889999999999999</c:v>
                </c:pt>
                <c:pt idx="1526">
                  <c:v>4.0380000000000003</c:v>
                </c:pt>
                <c:pt idx="1527">
                  <c:v>4.0369999999999999</c:v>
                </c:pt>
                <c:pt idx="1528">
                  <c:v>4.032</c:v>
                </c:pt>
                <c:pt idx="1529">
                  <c:v>3.976</c:v>
                </c:pt>
                <c:pt idx="1530">
                  <c:v>3.919</c:v>
                </c:pt>
                <c:pt idx="1531">
                  <c:v>3.9279999999999999</c:v>
                </c:pt>
                <c:pt idx="1532">
                  <c:v>3.9540000000000002</c:v>
                </c:pt>
                <c:pt idx="1533">
                  <c:v>3.89</c:v>
                </c:pt>
                <c:pt idx="1534">
                  <c:v>3.923</c:v>
                </c:pt>
                <c:pt idx="1535">
                  <c:v>3.8849999999999998</c:v>
                </c:pt>
                <c:pt idx="1536">
                  <c:v>3.863</c:v>
                </c:pt>
                <c:pt idx="1537">
                  <c:v>3.91</c:v>
                </c:pt>
                <c:pt idx="1538">
                  <c:v>3.9529999999999998</c:v>
                </c:pt>
                <c:pt idx="1539">
                  <c:v>3.9409999999999998</c:v>
                </c:pt>
                <c:pt idx="1540">
                  <c:v>3.9990000000000001</c:v>
                </c:pt>
                <c:pt idx="1541">
                  <c:v>4.0010000000000003</c:v>
                </c:pt>
                <c:pt idx="1542">
                  <c:v>3.968</c:v>
                </c:pt>
                <c:pt idx="1543">
                  <c:v>4.0060000000000002</c:v>
                </c:pt>
                <c:pt idx="1544">
                  <c:v>4.0620000000000003</c:v>
                </c:pt>
                <c:pt idx="1545">
                  <c:v>4.0739999999999998</c:v>
                </c:pt>
                <c:pt idx="1546">
                  <c:v>4.0819999999999999</c:v>
                </c:pt>
                <c:pt idx="1547">
                  <c:v>4.0609999999999999</c:v>
                </c:pt>
                <c:pt idx="1548">
                  <c:v>3.9910000000000001</c:v>
                </c:pt>
                <c:pt idx="1549">
                  <c:v>3.9510000000000001</c:v>
                </c:pt>
                <c:pt idx="1550">
                  <c:v>3.9260000000000002</c:v>
                </c:pt>
                <c:pt idx="1551">
                  <c:v>3.911</c:v>
                </c:pt>
                <c:pt idx="1552">
                  <c:v>3.863</c:v>
                </c:pt>
                <c:pt idx="1553">
                  <c:v>3.8919999999999999</c:v>
                </c:pt>
                <c:pt idx="1554">
                  <c:v>3.8290000000000002</c:v>
                </c:pt>
                <c:pt idx="1555">
                  <c:v>3.883</c:v>
                </c:pt>
                <c:pt idx="1556">
                  <c:v>3.984</c:v>
                </c:pt>
                <c:pt idx="1557">
                  <c:v>3.9119999999999999</c:v>
                </c:pt>
                <c:pt idx="1558">
                  <c:v>3.9550000000000001</c:v>
                </c:pt>
                <c:pt idx="1559">
                  <c:v>3.8839999999999999</c:v>
                </c:pt>
                <c:pt idx="1560">
                  <c:v>3.9159999999999999</c:v>
                </c:pt>
                <c:pt idx="1561">
                  <c:v>3.911</c:v>
                </c:pt>
                <c:pt idx="1562">
                  <c:v>3.9060000000000001</c:v>
                </c:pt>
                <c:pt idx="1563">
                  <c:v>3.9049999999999998</c:v>
                </c:pt>
                <c:pt idx="1564">
                  <c:v>3.9119999999999999</c:v>
                </c:pt>
                <c:pt idx="1565">
                  <c:v>3.931</c:v>
                </c:pt>
                <c:pt idx="1566">
                  <c:v>3.879</c:v>
                </c:pt>
                <c:pt idx="1567">
                  <c:v>3.8889999999999998</c:v>
                </c:pt>
                <c:pt idx="1568">
                  <c:v>3.883</c:v>
                </c:pt>
                <c:pt idx="1569">
                  <c:v>3.8919999999999999</c:v>
                </c:pt>
                <c:pt idx="1570">
                  <c:v>3.9390000000000001</c:v>
                </c:pt>
                <c:pt idx="1571">
                  <c:v>3.95</c:v>
                </c:pt>
                <c:pt idx="1572">
                  <c:v>3.911</c:v>
                </c:pt>
                <c:pt idx="1573">
                  <c:v>3.8410000000000002</c:v>
                </c:pt>
                <c:pt idx="1574">
                  <c:v>3.8420000000000001</c:v>
                </c:pt>
                <c:pt idx="1575">
                  <c:v>3.8610000000000002</c:v>
                </c:pt>
                <c:pt idx="1576">
                  <c:v>3.6970000000000001</c:v>
                </c:pt>
                <c:pt idx="1577">
                  <c:v>3.593</c:v>
                </c:pt>
                <c:pt idx="1578">
                  <c:v>3.47</c:v>
                </c:pt>
                <c:pt idx="1579">
                  <c:v>3.5550000000000002</c:v>
                </c:pt>
                <c:pt idx="1580">
                  <c:v>3.552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BA-4C71-B8EA-47A104C6F2A6}"/>
            </c:ext>
          </c:extLst>
        </c:ser>
        <c:ser>
          <c:idx val="3"/>
          <c:order val="3"/>
          <c:tx>
            <c:v>10 Year Bond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'Risk Free Rate'!$A$10:$A$1590</c:f>
              <c:strCache>
                <c:ptCount val="1581"/>
                <c:pt idx="0">
                  <c:v>02-Jan-2019</c:v>
                </c:pt>
                <c:pt idx="1">
                  <c:v>03-Jan-2019</c:v>
                </c:pt>
                <c:pt idx="2">
                  <c:v>04-Jan-2019</c:v>
                </c:pt>
                <c:pt idx="3">
                  <c:v>07-Jan-2019</c:v>
                </c:pt>
                <c:pt idx="4">
                  <c:v>08-Jan-2019</c:v>
                </c:pt>
                <c:pt idx="5">
                  <c:v>09-Jan-2019</c:v>
                </c:pt>
                <c:pt idx="6">
                  <c:v>10-Jan-2019</c:v>
                </c:pt>
                <c:pt idx="7">
                  <c:v>2019-01-11</c:v>
                </c:pt>
                <c:pt idx="8">
                  <c:v>14-Jan-2019</c:v>
                </c:pt>
                <c:pt idx="9">
                  <c:v>15-Jan-2019</c:v>
                </c:pt>
                <c:pt idx="10">
                  <c:v>16-Jan-2019</c:v>
                </c:pt>
                <c:pt idx="11">
                  <c:v>17-Jan-2019</c:v>
                </c:pt>
                <c:pt idx="12">
                  <c:v>18-Jan-2019</c:v>
                </c:pt>
                <c:pt idx="13">
                  <c:v>21-Jan-2019</c:v>
                </c:pt>
                <c:pt idx="14">
                  <c:v>22-Jan-2019</c:v>
                </c:pt>
                <c:pt idx="15">
                  <c:v>23-Jan-2019</c:v>
                </c:pt>
                <c:pt idx="16">
                  <c:v>24-Jan-2019</c:v>
                </c:pt>
                <c:pt idx="17">
                  <c:v>25-Jan-2019</c:v>
                </c:pt>
                <c:pt idx="18">
                  <c:v>29-Jan-2019</c:v>
                </c:pt>
                <c:pt idx="19">
                  <c:v>30-Jan-2019</c:v>
                </c:pt>
                <c:pt idx="20">
                  <c:v>31-Jan-2019</c:v>
                </c:pt>
                <c:pt idx="21">
                  <c:v>01-Feb-2019</c:v>
                </c:pt>
                <c:pt idx="22">
                  <c:v>04-Feb-2019</c:v>
                </c:pt>
                <c:pt idx="23">
                  <c:v>05-Feb-2019</c:v>
                </c:pt>
                <c:pt idx="24">
                  <c:v>06-Feb-2019</c:v>
                </c:pt>
                <c:pt idx="25">
                  <c:v>07-Feb-2019</c:v>
                </c:pt>
                <c:pt idx="26">
                  <c:v>08-Feb-2019</c:v>
                </c:pt>
                <c:pt idx="27">
                  <c:v>11-Feb-2019</c:v>
                </c:pt>
                <c:pt idx="28">
                  <c:v>12-Feb-2019</c:v>
                </c:pt>
                <c:pt idx="29">
                  <c:v>13-Feb-2019</c:v>
                </c:pt>
                <c:pt idx="30">
                  <c:v>14-Feb-2019</c:v>
                </c:pt>
                <c:pt idx="31">
                  <c:v>15-Feb-2019</c:v>
                </c:pt>
                <c:pt idx="32">
                  <c:v>18-Feb-2019</c:v>
                </c:pt>
                <c:pt idx="33">
                  <c:v>19-Feb-2019</c:v>
                </c:pt>
                <c:pt idx="34">
                  <c:v>20-Feb-2019</c:v>
                </c:pt>
                <c:pt idx="35">
                  <c:v>21-Feb-2019</c:v>
                </c:pt>
                <c:pt idx="36">
                  <c:v>22-Feb-2019</c:v>
                </c:pt>
                <c:pt idx="37">
                  <c:v>25-Feb-2019</c:v>
                </c:pt>
                <c:pt idx="38">
                  <c:v>26-Feb-2019</c:v>
                </c:pt>
                <c:pt idx="39">
                  <c:v>27-Feb-2019</c:v>
                </c:pt>
                <c:pt idx="40">
                  <c:v>28-Feb-2019</c:v>
                </c:pt>
                <c:pt idx="41">
                  <c:v>01-Mar-2019</c:v>
                </c:pt>
                <c:pt idx="42">
                  <c:v>04-Mar-2019</c:v>
                </c:pt>
                <c:pt idx="43">
                  <c:v>05-Mar-2019</c:v>
                </c:pt>
                <c:pt idx="44">
                  <c:v>06-Mar-2019</c:v>
                </c:pt>
                <c:pt idx="45">
                  <c:v>07-Mar-2019</c:v>
                </c:pt>
                <c:pt idx="46">
                  <c:v>08-Mar-2019</c:v>
                </c:pt>
                <c:pt idx="47">
                  <c:v>11-Mar-2019</c:v>
                </c:pt>
                <c:pt idx="48">
                  <c:v>12-Mar-2019</c:v>
                </c:pt>
                <c:pt idx="49">
                  <c:v>13-Mar-2019</c:v>
                </c:pt>
                <c:pt idx="50">
                  <c:v>14-Mar-2019</c:v>
                </c:pt>
                <c:pt idx="51">
                  <c:v>15-Mar-2019</c:v>
                </c:pt>
                <c:pt idx="52">
                  <c:v>18-Mar-2019</c:v>
                </c:pt>
                <c:pt idx="53">
                  <c:v>19-Mar-2019</c:v>
                </c:pt>
                <c:pt idx="54">
                  <c:v>20-Mar-2019</c:v>
                </c:pt>
                <c:pt idx="55">
                  <c:v>21-Mar-2019</c:v>
                </c:pt>
                <c:pt idx="56">
                  <c:v>22-Mar-2019</c:v>
                </c:pt>
                <c:pt idx="57">
                  <c:v>25-Mar-2019</c:v>
                </c:pt>
                <c:pt idx="58">
                  <c:v>26-Mar-2019</c:v>
                </c:pt>
                <c:pt idx="59">
                  <c:v>27-Mar-2019</c:v>
                </c:pt>
                <c:pt idx="60">
                  <c:v>28-Mar-2019</c:v>
                </c:pt>
                <c:pt idx="61">
                  <c:v>29-Mar-2019</c:v>
                </c:pt>
                <c:pt idx="62">
                  <c:v>01-Apr-2019</c:v>
                </c:pt>
                <c:pt idx="63">
                  <c:v>02-Apr-2019</c:v>
                </c:pt>
                <c:pt idx="64">
                  <c:v>03-Apr-2019</c:v>
                </c:pt>
                <c:pt idx="65">
                  <c:v>04-Apr-2019</c:v>
                </c:pt>
                <c:pt idx="66">
                  <c:v>05-Apr-2019</c:v>
                </c:pt>
                <c:pt idx="67">
                  <c:v>08-Apr-2019</c:v>
                </c:pt>
                <c:pt idx="68">
                  <c:v>09-Apr-2019</c:v>
                </c:pt>
                <c:pt idx="69">
                  <c:v>10-Apr-2019</c:v>
                </c:pt>
                <c:pt idx="70">
                  <c:v>11-Apr-2019</c:v>
                </c:pt>
                <c:pt idx="71">
                  <c:v>12-Apr-2019</c:v>
                </c:pt>
                <c:pt idx="72">
                  <c:v>15-Apr-2019</c:v>
                </c:pt>
                <c:pt idx="73">
                  <c:v>16-Apr-2019</c:v>
                </c:pt>
                <c:pt idx="74">
                  <c:v>17-Apr-2019</c:v>
                </c:pt>
                <c:pt idx="75">
                  <c:v>18-Apr-2019</c:v>
                </c:pt>
                <c:pt idx="76">
                  <c:v>23-Apr-2019</c:v>
                </c:pt>
                <c:pt idx="77">
                  <c:v>24-Apr-2019</c:v>
                </c:pt>
                <c:pt idx="78">
                  <c:v>26-Apr-2019</c:v>
                </c:pt>
                <c:pt idx="79">
                  <c:v>29-Apr-2019</c:v>
                </c:pt>
                <c:pt idx="80">
                  <c:v>30-Apr-2019</c:v>
                </c:pt>
                <c:pt idx="81">
                  <c:v>01-May-2019</c:v>
                </c:pt>
                <c:pt idx="82">
                  <c:v>02-May-2019</c:v>
                </c:pt>
                <c:pt idx="83">
                  <c:v>03-May-2019</c:v>
                </c:pt>
                <c:pt idx="84">
                  <c:v>06-May-2019</c:v>
                </c:pt>
                <c:pt idx="85">
                  <c:v>07-May-2019</c:v>
                </c:pt>
                <c:pt idx="86">
                  <c:v>08-May-2019</c:v>
                </c:pt>
                <c:pt idx="87">
                  <c:v>09-May-2019</c:v>
                </c:pt>
                <c:pt idx="88">
                  <c:v>10-May-2019</c:v>
                </c:pt>
                <c:pt idx="89">
                  <c:v>13-May-2019</c:v>
                </c:pt>
                <c:pt idx="90">
                  <c:v>14-May-2019</c:v>
                </c:pt>
                <c:pt idx="91">
                  <c:v>15-May-2019</c:v>
                </c:pt>
                <c:pt idx="92">
                  <c:v>16-May-2019</c:v>
                </c:pt>
                <c:pt idx="93">
                  <c:v>17-May-2019</c:v>
                </c:pt>
                <c:pt idx="94">
                  <c:v>20-May-2019</c:v>
                </c:pt>
                <c:pt idx="95">
                  <c:v>21-May-2019</c:v>
                </c:pt>
                <c:pt idx="96">
                  <c:v>22-May-2019</c:v>
                </c:pt>
                <c:pt idx="97">
                  <c:v>23-May-2019</c:v>
                </c:pt>
                <c:pt idx="98">
                  <c:v>24-May-2019</c:v>
                </c:pt>
                <c:pt idx="99">
                  <c:v>27-May-2019</c:v>
                </c:pt>
                <c:pt idx="100">
                  <c:v>28-May-2019</c:v>
                </c:pt>
                <c:pt idx="101">
                  <c:v>29-May-2019</c:v>
                </c:pt>
                <c:pt idx="102">
                  <c:v>30-May-2019</c:v>
                </c:pt>
                <c:pt idx="103">
                  <c:v>31-May-2019</c:v>
                </c:pt>
                <c:pt idx="104">
                  <c:v>03-Jun-2019</c:v>
                </c:pt>
                <c:pt idx="105">
                  <c:v>04-Jun-2019</c:v>
                </c:pt>
                <c:pt idx="106">
                  <c:v>05-Jun-2019</c:v>
                </c:pt>
                <c:pt idx="107">
                  <c:v>06-Jun-2019</c:v>
                </c:pt>
                <c:pt idx="108">
                  <c:v>07-Jun-2019</c:v>
                </c:pt>
                <c:pt idx="109">
                  <c:v>11-Jun-2019</c:v>
                </c:pt>
                <c:pt idx="110">
                  <c:v>12-Jun-2019</c:v>
                </c:pt>
                <c:pt idx="111">
                  <c:v>13-Jun-2019</c:v>
                </c:pt>
                <c:pt idx="112">
                  <c:v>14-Jun-2019</c:v>
                </c:pt>
                <c:pt idx="113">
                  <c:v>17-Jun-2019</c:v>
                </c:pt>
                <c:pt idx="114">
                  <c:v>18-Jun-2019</c:v>
                </c:pt>
                <c:pt idx="115">
                  <c:v>19-Jun-2019</c:v>
                </c:pt>
                <c:pt idx="116">
                  <c:v>20-Jun-2019</c:v>
                </c:pt>
                <c:pt idx="117">
                  <c:v>21-Jun-2019</c:v>
                </c:pt>
                <c:pt idx="118">
                  <c:v>24-Jun-2019</c:v>
                </c:pt>
                <c:pt idx="119">
                  <c:v>25-Jun-2019</c:v>
                </c:pt>
                <c:pt idx="120">
                  <c:v>26-Jun-2019</c:v>
                </c:pt>
                <c:pt idx="121">
                  <c:v>27-Jun-2019</c:v>
                </c:pt>
                <c:pt idx="122">
                  <c:v>28-Jun-2019</c:v>
                </c:pt>
                <c:pt idx="123">
                  <c:v>01-Jul-2019</c:v>
                </c:pt>
                <c:pt idx="124">
                  <c:v>02-Jul-2019</c:v>
                </c:pt>
                <c:pt idx="125">
                  <c:v>03-Jul-2019</c:v>
                </c:pt>
                <c:pt idx="126">
                  <c:v>04-Jul-2019</c:v>
                </c:pt>
                <c:pt idx="127">
                  <c:v>05-Jul-2019</c:v>
                </c:pt>
                <c:pt idx="128">
                  <c:v>08-Jul-2019</c:v>
                </c:pt>
                <c:pt idx="129">
                  <c:v>09-Jul-2019</c:v>
                </c:pt>
                <c:pt idx="130">
                  <c:v>10-Jul-2019</c:v>
                </c:pt>
                <c:pt idx="131">
                  <c:v>11-Jul-2019</c:v>
                </c:pt>
                <c:pt idx="132">
                  <c:v>12-Jul-2019</c:v>
                </c:pt>
                <c:pt idx="133">
                  <c:v>15-Jul-2019</c:v>
                </c:pt>
                <c:pt idx="134">
                  <c:v>16-Jul-2019</c:v>
                </c:pt>
                <c:pt idx="135">
                  <c:v>17-Jul-2019</c:v>
                </c:pt>
                <c:pt idx="136">
                  <c:v>18-Jul-2019</c:v>
                </c:pt>
                <c:pt idx="137">
                  <c:v>19-Jul-2019</c:v>
                </c:pt>
                <c:pt idx="138">
                  <c:v>22-Jul-2019</c:v>
                </c:pt>
                <c:pt idx="139">
                  <c:v>23-Jul-2019</c:v>
                </c:pt>
                <c:pt idx="140">
                  <c:v>24-Jul-2019</c:v>
                </c:pt>
                <c:pt idx="141">
                  <c:v>25-Jul-2019</c:v>
                </c:pt>
                <c:pt idx="142">
                  <c:v>26-Jul-2019</c:v>
                </c:pt>
                <c:pt idx="143">
                  <c:v>29-Jul-2019</c:v>
                </c:pt>
                <c:pt idx="144">
                  <c:v>30-Jul-2019</c:v>
                </c:pt>
                <c:pt idx="145">
                  <c:v>31-Jul-2019</c:v>
                </c:pt>
                <c:pt idx="146">
                  <c:v>01-Aug-2019</c:v>
                </c:pt>
                <c:pt idx="147">
                  <c:v>02-Aug-2019</c:v>
                </c:pt>
                <c:pt idx="148">
                  <c:v>05-Aug-2019</c:v>
                </c:pt>
                <c:pt idx="149">
                  <c:v>06-Aug-2019</c:v>
                </c:pt>
                <c:pt idx="150">
                  <c:v>07-Aug-2019</c:v>
                </c:pt>
                <c:pt idx="151">
                  <c:v>08-Aug-2019</c:v>
                </c:pt>
                <c:pt idx="152">
                  <c:v>09-Aug-2019</c:v>
                </c:pt>
                <c:pt idx="153">
                  <c:v>12-Aug-2019</c:v>
                </c:pt>
                <c:pt idx="154">
                  <c:v>13-Aug-2019</c:v>
                </c:pt>
                <c:pt idx="155">
                  <c:v>14-Aug-2019</c:v>
                </c:pt>
                <c:pt idx="156">
                  <c:v>15-Aug-2019</c:v>
                </c:pt>
                <c:pt idx="157">
                  <c:v>16-Aug-2019</c:v>
                </c:pt>
                <c:pt idx="158">
                  <c:v>19-Aug-2019</c:v>
                </c:pt>
                <c:pt idx="159">
                  <c:v>20-Aug-2019</c:v>
                </c:pt>
                <c:pt idx="160">
                  <c:v>21-Aug-2019</c:v>
                </c:pt>
                <c:pt idx="161">
                  <c:v>22-Aug-2019</c:v>
                </c:pt>
                <c:pt idx="162">
                  <c:v>23-Aug-2019</c:v>
                </c:pt>
                <c:pt idx="163">
                  <c:v>26-Aug-2019</c:v>
                </c:pt>
                <c:pt idx="164">
                  <c:v>27-Aug-2019</c:v>
                </c:pt>
                <c:pt idx="165">
                  <c:v>28-Aug-2019</c:v>
                </c:pt>
                <c:pt idx="166">
                  <c:v>29-Aug-2019</c:v>
                </c:pt>
                <c:pt idx="167">
                  <c:v>30-Aug-2019</c:v>
                </c:pt>
                <c:pt idx="168">
                  <c:v>02-Sep-2019</c:v>
                </c:pt>
                <c:pt idx="169">
                  <c:v>03-Sep-2019</c:v>
                </c:pt>
                <c:pt idx="170">
                  <c:v>04-Sep-2019</c:v>
                </c:pt>
                <c:pt idx="171">
                  <c:v>05-Sep-2019</c:v>
                </c:pt>
                <c:pt idx="172">
                  <c:v>06-Sep-2019</c:v>
                </c:pt>
                <c:pt idx="173">
                  <c:v>09-Sep-2019</c:v>
                </c:pt>
                <c:pt idx="174">
                  <c:v>10-Sep-2019</c:v>
                </c:pt>
                <c:pt idx="175">
                  <c:v>11-Sep-2019</c:v>
                </c:pt>
                <c:pt idx="176">
                  <c:v>12-Sep-2019</c:v>
                </c:pt>
                <c:pt idx="177">
                  <c:v>13-Sep-2019</c:v>
                </c:pt>
                <c:pt idx="178">
                  <c:v>16-Sep-2019</c:v>
                </c:pt>
                <c:pt idx="179">
                  <c:v>17-Sep-2019</c:v>
                </c:pt>
                <c:pt idx="180">
                  <c:v>18-Sep-2019</c:v>
                </c:pt>
                <c:pt idx="181">
                  <c:v>19-Sep-2019</c:v>
                </c:pt>
                <c:pt idx="182">
                  <c:v>20-Sep-2019</c:v>
                </c:pt>
                <c:pt idx="183">
                  <c:v>23-Sep-2019</c:v>
                </c:pt>
                <c:pt idx="184">
                  <c:v>24-Sep-2019</c:v>
                </c:pt>
                <c:pt idx="185">
                  <c:v>25-Sep-2019</c:v>
                </c:pt>
                <c:pt idx="186">
                  <c:v>26-Sep-2019</c:v>
                </c:pt>
                <c:pt idx="187">
                  <c:v>27-Sep-2019</c:v>
                </c:pt>
                <c:pt idx="188">
                  <c:v>30-Sep-2019</c:v>
                </c:pt>
                <c:pt idx="189">
                  <c:v>01-Oct-2019</c:v>
                </c:pt>
                <c:pt idx="190">
                  <c:v>02-Oct-2019</c:v>
                </c:pt>
                <c:pt idx="191">
                  <c:v>03-Oct-2019</c:v>
                </c:pt>
                <c:pt idx="192">
                  <c:v>04-Oct-2019</c:v>
                </c:pt>
                <c:pt idx="193">
                  <c:v>08-Oct-2019</c:v>
                </c:pt>
                <c:pt idx="194">
                  <c:v>09-Oct-2019</c:v>
                </c:pt>
                <c:pt idx="195">
                  <c:v>10-Oct-2019</c:v>
                </c:pt>
                <c:pt idx="196">
                  <c:v>11-Oct-2019</c:v>
                </c:pt>
                <c:pt idx="197">
                  <c:v>14-Oct-2019</c:v>
                </c:pt>
                <c:pt idx="198">
                  <c:v>15-Oct-2019</c:v>
                </c:pt>
                <c:pt idx="199">
                  <c:v>16-Oct-2019</c:v>
                </c:pt>
                <c:pt idx="200">
                  <c:v>17-Oct-2019</c:v>
                </c:pt>
                <c:pt idx="201">
                  <c:v>18-Oct-2019</c:v>
                </c:pt>
                <c:pt idx="202">
                  <c:v>21-Oct-2019</c:v>
                </c:pt>
                <c:pt idx="203">
                  <c:v>22-Oct-2019</c:v>
                </c:pt>
                <c:pt idx="204">
                  <c:v>23-Oct-2019</c:v>
                </c:pt>
                <c:pt idx="205">
                  <c:v>24-Oct-2019</c:v>
                </c:pt>
                <c:pt idx="206">
                  <c:v>25-Oct-2019</c:v>
                </c:pt>
                <c:pt idx="207">
                  <c:v>28-Oct-2019</c:v>
                </c:pt>
                <c:pt idx="208">
                  <c:v>29-Oct-2019</c:v>
                </c:pt>
                <c:pt idx="209">
                  <c:v>30-Oct-2019</c:v>
                </c:pt>
                <c:pt idx="210">
                  <c:v>31-Oct-2019</c:v>
                </c:pt>
                <c:pt idx="211">
                  <c:v>01-Nov-2019</c:v>
                </c:pt>
                <c:pt idx="212">
                  <c:v>04-Nov-2019</c:v>
                </c:pt>
                <c:pt idx="213">
                  <c:v>05-Nov-2019</c:v>
                </c:pt>
                <c:pt idx="214">
                  <c:v>06-Nov-2019</c:v>
                </c:pt>
                <c:pt idx="215">
                  <c:v>07-Nov-2019</c:v>
                </c:pt>
                <c:pt idx="216">
                  <c:v>08-Nov-2019</c:v>
                </c:pt>
                <c:pt idx="217">
                  <c:v>11-Nov-2019</c:v>
                </c:pt>
                <c:pt idx="218">
                  <c:v>12-Nov-2019</c:v>
                </c:pt>
                <c:pt idx="219">
                  <c:v>13-Nov-2019</c:v>
                </c:pt>
                <c:pt idx="220">
                  <c:v>14-Nov-2019</c:v>
                </c:pt>
                <c:pt idx="221">
                  <c:v>15-Nov-2019</c:v>
                </c:pt>
                <c:pt idx="222">
                  <c:v>18-Nov-2019</c:v>
                </c:pt>
                <c:pt idx="223">
                  <c:v>19-Nov-2019</c:v>
                </c:pt>
                <c:pt idx="224">
                  <c:v>20-Nov-2019</c:v>
                </c:pt>
                <c:pt idx="225">
                  <c:v>21-Nov-2019</c:v>
                </c:pt>
                <c:pt idx="226">
                  <c:v>22-Nov-2019</c:v>
                </c:pt>
                <c:pt idx="227">
                  <c:v>25-Nov-2019</c:v>
                </c:pt>
                <c:pt idx="228">
                  <c:v>26-Nov-2019</c:v>
                </c:pt>
                <c:pt idx="229">
                  <c:v>27-Nov-2019</c:v>
                </c:pt>
                <c:pt idx="230">
                  <c:v>28-Nov-2019</c:v>
                </c:pt>
                <c:pt idx="231">
                  <c:v>29-Nov-2019</c:v>
                </c:pt>
                <c:pt idx="232">
                  <c:v>02-Dec-2019</c:v>
                </c:pt>
                <c:pt idx="233">
                  <c:v>03-Dec-2019</c:v>
                </c:pt>
                <c:pt idx="234">
                  <c:v>04-Dec-2019</c:v>
                </c:pt>
                <c:pt idx="235">
                  <c:v>05-Dec-2019</c:v>
                </c:pt>
                <c:pt idx="236">
                  <c:v>06-Dec-2019</c:v>
                </c:pt>
                <c:pt idx="237">
                  <c:v>09-Dec-2019</c:v>
                </c:pt>
                <c:pt idx="238">
                  <c:v>10-Dec-2019</c:v>
                </c:pt>
                <c:pt idx="239">
                  <c:v>11-Dec-2019</c:v>
                </c:pt>
                <c:pt idx="240">
                  <c:v>12-Dec-2019</c:v>
                </c:pt>
                <c:pt idx="241">
                  <c:v>13-Dec-2019</c:v>
                </c:pt>
                <c:pt idx="242">
                  <c:v>16-Dec-2019</c:v>
                </c:pt>
                <c:pt idx="243">
                  <c:v>17-Dec-2019</c:v>
                </c:pt>
                <c:pt idx="244">
                  <c:v>18-Dec-2019</c:v>
                </c:pt>
                <c:pt idx="245">
                  <c:v>19-Dec-2019</c:v>
                </c:pt>
                <c:pt idx="246">
                  <c:v>20-Dec-2019</c:v>
                </c:pt>
                <c:pt idx="247">
                  <c:v>23-Dec-2019</c:v>
                </c:pt>
                <c:pt idx="248">
                  <c:v>24-Dec-2019</c:v>
                </c:pt>
                <c:pt idx="249">
                  <c:v>27-Dec-2019</c:v>
                </c:pt>
                <c:pt idx="250">
                  <c:v>30-Dec-2019</c:v>
                </c:pt>
                <c:pt idx="251">
                  <c:v>31-Dec-2019</c:v>
                </c:pt>
                <c:pt idx="252">
                  <c:v>02-Jan-2020</c:v>
                </c:pt>
                <c:pt idx="253">
                  <c:v>03-Jan-2020</c:v>
                </c:pt>
                <c:pt idx="254">
                  <c:v>06-Jan-2020</c:v>
                </c:pt>
                <c:pt idx="255">
                  <c:v>07-Jan-2020</c:v>
                </c:pt>
                <c:pt idx="256">
                  <c:v>08-Jan-2020</c:v>
                </c:pt>
                <c:pt idx="257">
                  <c:v>09-Jan-2020</c:v>
                </c:pt>
                <c:pt idx="258">
                  <c:v>10-Jan-2020</c:v>
                </c:pt>
                <c:pt idx="259">
                  <c:v>13-Jan-2020</c:v>
                </c:pt>
                <c:pt idx="260">
                  <c:v>14-Jan-2020</c:v>
                </c:pt>
                <c:pt idx="261">
                  <c:v>15-Jan-2020</c:v>
                </c:pt>
                <c:pt idx="262">
                  <c:v>16-Jan-2020</c:v>
                </c:pt>
                <c:pt idx="263">
                  <c:v>17-Jan-2020</c:v>
                </c:pt>
                <c:pt idx="264">
                  <c:v>20-Jan-2020</c:v>
                </c:pt>
                <c:pt idx="265">
                  <c:v>21-Jan-2020</c:v>
                </c:pt>
                <c:pt idx="266">
                  <c:v>22-Jan-2020</c:v>
                </c:pt>
                <c:pt idx="267">
                  <c:v>23-Jan-2020</c:v>
                </c:pt>
                <c:pt idx="268">
                  <c:v>24-Jan-2020</c:v>
                </c:pt>
                <c:pt idx="269">
                  <c:v>28-Jan-2020</c:v>
                </c:pt>
                <c:pt idx="270">
                  <c:v>29-Jan-2020</c:v>
                </c:pt>
                <c:pt idx="271">
                  <c:v>30-Jan-2020</c:v>
                </c:pt>
                <c:pt idx="272">
                  <c:v>31-Jan-2020</c:v>
                </c:pt>
                <c:pt idx="273">
                  <c:v>03-Feb-2020</c:v>
                </c:pt>
                <c:pt idx="274">
                  <c:v>04-Feb-2020</c:v>
                </c:pt>
                <c:pt idx="275">
                  <c:v>05-Feb-2020</c:v>
                </c:pt>
                <c:pt idx="276">
                  <c:v>06-Feb-2020</c:v>
                </c:pt>
                <c:pt idx="277">
                  <c:v>07-Feb-2020</c:v>
                </c:pt>
                <c:pt idx="278">
                  <c:v>10-Feb-2020</c:v>
                </c:pt>
                <c:pt idx="279">
                  <c:v>11-Feb-2020</c:v>
                </c:pt>
                <c:pt idx="280">
                  <c:v>12-Feb-2020</c:v>
                </c:pt>
                <c:pt idx="281">
                  <c:v>13-Feb-2020</c:v>
                </c:pt>
                <c:pt idx="282">
                  <c:v>14-Feb-2020</c:v>
                </c:pt>
                <c:pt idx="283">
                  <c:v>17-Feb-2020</c:v>
                </c:pt>
                <c:pt idx="284">
                  <c:v>18-Feb-2020</c:v>
                </c:pt>
                <c:pt idx="285">
                  <c:v>19-Feb-2020</c:v>
                </c:pt>
                <c:pt idx="286">
                  <c:v>20-Feb-2020</c:v>
                </c:pt>
                <c:pt idx="287">
                  <c:v>21-Feb-2020</c:v>
                </c:pt>
                <c:pt idx="288">
                  <c:v>24-Feb-2020</c:v>
                </c:pt>
                <c:pt idx="289">
                  <c:v>25-Feb-2020</c:v>
                </c:pt>
                <c:pt idx="290">
                  <c:v>26-Feb-2020</c:v>
                </c:pt>
                <c:pt idx="291">
                  <c:v>27-Feb-2020</c:v>
                </c:pt>
                <c:pt idx="292">
                  <c:v>28-Feb-2020</c:v>
                </c:pt>
                <c:pt idx="293">
                  <c:v>02-Mar-2020</c:v>
                </c:pt>
                <c:pt idx="294">
                  <c:v>03-Mar-2020</c:v>
                </c:pt>
                <c:pt idx="295">
                  <c:v>04-Mar-2020</c:v>
                </c:pt>
                <c:pt idx="296">
                  <c:v>05-Mar-2020</c:v>
                </c:pt>
                <c:pt idx="297">
                  <c:v>06-Mar-2020</c:v>
                </c:pt>
                <c:pt idx="298">
                  <c:v>09-Mar-2020</c:v>
                </c:pt>
                <c:pt idx="299">
                  <c:v>10-Mar-2020</c:v>
                </c:pt>
                <c:pt idx="300">
                  <c:v>11-Mar-2020</c:v>
                </c:pt>
                <c:pt idx="301">
                  <c:v>12-Mar-2020</c:v>
                </c:pt>
                <c:pt idx="302">
                  <c:v>13-Mar-2020</c:v>
                </c:pt>
                <c:pt idx="303">
                  <c:v>16-Mar-2020</c:v>
                </c:pt>
                <c:pt idx="304">
                  <c:v>17-Mar-2020</c:v>
                </c:pt>
                <c:pt idx="305">
                  <c:v>18-Mar-2020</c:v>
                </c:pt>
                <c:pt idx="306">
                  <c:v>19-Mar-2020</c:v>
                </c:pt>
                <c:pt idx="307">
                  <c:v>20-Mar-2020</c:v>
                </c:pt>
                <c:pt idx="308">
                  <c:v>23-Mar-2020</c:v>
                </c:pt>
                <c:pt idx="309">
                  <c:v>24-Mar-2020</c:v>
                </c:pt>
                <c:pt idx="310">
                  <c:v>25-Mar-2020</c:v>
                </c:pt>
                <c:pt idx="311">
                  <c:v>26-Mar-2020</c:v>
                </c:pt>
                <c:pt idx="312">
                  <c:v>27-Mar-2020</c:v>
                </c:pt>
                <c:pt idx="313">
                  <c:v>30-Mar-2020</c:v>
                </c:pt>
                <c:pt idx="314">
                  <c:v>31-Mar-2020</c:v>
                </c:pt>
                <c:pt idx="315">
                  <c:v>01-Apr-2020</c:v>
                </c:pt>
                <c:pt idx="316">
                  <c:v>02-Apr-2020</c:v>
                </c:pt>
                <c:pt idx="317">
                  <c:v>03-Apr-2020</c:v>
                </c:pt>
                <c:pt idx="318">
                  <c:v>06-Apr-2020</c:v>
                </c:pt>
                <c:pt idx="319">
                  <c:v>07-Apr-2020</c:v>
                </c:pt>
                <c:pt idx="320">
                  <c:v>08-Apr-2020</c:v>
                </c:pt>
                <c:pt idx="321">
                  <c:v>09-Apr-2020</c:v>
                </c:pt>
                <c:pt idx="322">
                  <c:v>14-Apr-2020</c:v>
                </c:pt>
                <c:pt idx="323">
                  <c:v>15-Apr-2020</c:v>
                </c:pt>
                <c:pt idx="324">
                  <c:v>16-Apr-2020</c:v>
                </c:pt>
                <c:pt idx="325">
                  <c:v>17-Apr-2020</c:v>
                </c:pt>
                <c:pt idx="326">
                  <c:v>20-Apr-2020</c:v>
                </c:pt>
                <c:pt idx="327">
                  <c:v>21-Apr-2020</c:v>
                </c:pt>
                <c:pt idx="328">
                  <c:v>22-Apr-2020</c:v>
                </c:pt>
                <c:pt idx="329">
                  <c:v>23-Apr-2020</c:v>
                </c:pt>
                <c:pt idx="330">
                  <c:v>24-Apr-2020</c:v>
                </c:pt>
                <c:pt idx="331">
                  <c:v>27-Apr-2020</c:v>
                </c:pt>
                <c:pt idx="332">
                  <c:v>28-Apr-2020</c:v>
                </c:pt>
                <c:pt idx="333">
                  <c:v>29-Apr-2020</c:v>
                </c:pt>
                <c:pt idx="334">
                  <c:v>30-Apr-2020</c:v>
                </c:pt>
                <c:pt idx="335">
                  <c:v>01-May-2020</c:v>
                </c:pt>
                <c:pt idx="336">
                  <c:v>04-May-2020</c:v>
                </c:pt>
                <c:pt idx="337">
                  <c:v>05-May-2020</c:v>
                </c:pt>
                <c:pt idx="338">
                  <c:v>06-May-2020</c:v>
                </c:pt>
                <c:pt idx="339">
                  <c:v>07-May-2020</c:v>
                </c:pt>
                <c:pt idx="340">
                  <c:v>08-May-2020</c:v>
                </c:pt>
                <c:pt idx="341">
                  <c:v>11-May-2020</c:v>
                </c:pt>
                <c:pt idx="342">
                  <c:v>12-May-2020</c:v>
                </c:pt>
                <c:pt idx="343">
                  <c:v>13-May-2020</c:v>
                </c:pt>
                <c:pt idx="344">
                  <c:v>14-May-2020</c:v>
                </c:pt>
                <c:pt idx="345">
                  <c:v>15-May-2020</c:v>
                </c:pt>
                <c:pt idx="346">
                  <c:v>18-May-2020</c:v>
                </c:pt>
                <c:pt idx="347">
                  <c:v>19-May-2020</c:v>
                </c:pt>
                <c:pt idx="348">
                  <c:v>20-May-2020</c:v>
                </c:pt>
                <c:pt idx="349">
                  <c:v>21-May-2020</c:v>
                </c:pt>
                <c:pt idx="350">
                  <c:v>22-May-2020</c:v>
                </c:pt>
                <c:pt idx="351">
                  <c:v>25-May-2020</c:v>
                </c:pt>
                <c:pt idx="352">
                  <c:v>26-May-2020</c:v>
                </c:pt>
                <c:pt idx="353">
                  <c:v>27-May-2020</c:v>
                </c:pt>
                <c:pt idx="354">
                  <c:v>28-May-2020</c:v>
                </c:pt>
                <c:pt idx="355">
                  <c:v>29-May-2020</c:v>
                </c:pt>
                <c:pt idx="356">
                  <c:v>01-Jun-2020</c:v>
                </c:pt>
                <c:pt idx="357">
                  <c:v>02-Jun-2020</c:v>
                </c:pt>
                <c:pt idx="358">
                  <c:v>03-Jun-2020</c:v>
                </c:pt>
                <c:pt idx="359">
                  <c:v>04-Jun-2020</c:v>
                </c:pt>
                <c:pt idx="360">
                  <c:v>05-Jun-2020</c:v>
                </c:pt>
                <c:pt idx="361">
                  <c:v>09-Jun-2020</c:v>
                </c:pt>
                <c:pt idx="362">
                  <c:v>10-Jun-2020</c:v>
                </c:pt>
                <c:pt idx="363">
                  <c:v>11-Jun-2020</c:v>
                </c:pt>
                <c:pt idx="364">
                  <c:v>12-Jun-2020</c:v>
                </c:pt>
                <c:pt idx="365">
                  <c:v>15-Jun-2020</c:v>
                </c:pt>
                <c:pt idx="366">
                  <c:v>16-Jun-2020</c:v>
                </c:pt>
                <c:pt idx="367">
                  <c:v>17-Jun-2020</c:v>
                </c:pt>
                <c:pt idx="368">
                  <c:v>18-Jun-2020</c:v>
                </c:pt>
                <c:pt idx="369">
                  <c:v>19-Jun-2020</c:v>
                </c:pt>
                <c:pt idx="370">
                  <c:v>22-Jun-2020</c:v>
                </c:pt>
                <c:pt idx="371">
                  <c:v>23-Jun-2020</c:v>
                </c:pt>
                <c:pt idx="372">
                  <c:v>24-Jun-2020</c:v>
                </c:pt>
                <c:pt idx="373">
                  <c:v>25-Jun-2020</c:v>
                </c:pt>
                <c:pt idx="374">
                  <c:v>26-Jun-2020</c:v>
                </c:pt>
                <c:pt idx="375">
                  <c:v>29-Jun-2020</c:v>
                </c:pt>
                <c:pt idx="376">
                  <c:v>30-Jun-2020</c:v>
                </c:pt>
                <c:pt idx="377">
                  <c:v>01-Jul-2020</c:v>
                </c:pt>
                <c:pt idx="378">
                  <c:v>02-Jul-2020</c:v>
                </c:pt>
                <c:pt idx="379">
                  <c:v>03-Jul-2020</c:v>
                </c:pt>
                <c:pt idx="380">
                  <c:v>06-Jul-2020</c:v>
                </c:pt>
                <c:pt idx="381">
                  <c:v>07-Jul-2020</c:v>
                </c:pt>
                <c:pt idx="382">
                  <c:v>08-Jul-2020</c:v>
                </c:pt>
                <c:pt idx="383">
                  <c:v>09-Jul-2020</c:v>
                </c:pt>
                <c:pt idx="384">
                  <c:v>10-Jul-2020</c:v>
                </c:pt>
                <c:pt idx="385">
                  <c:v>13-Jul-2020</c:v>
                </c:pt>
                <c:pt idx="386">
                  <c:v>14-Jul-2020</c:v>
                </c:pt>
                <c:pt idx="387">
                  <c:v>15-Jul-2020</c:v>
                </c:pt>
                <c:pt idx="388">
                  <c:v>16-Jul-2020</c:v>
                </c:pt>
                <c:pt idx="389">
                  <c:v>17-Jul-2020</c:v>
                </c:pt>
                <c:pt idx="390">
                  <c:v>20-Jul-2020</c:v>
                </c:pt>
                <c:pt idx="391">
                  <c:v>21-Jul-2020</c:v>
                </c:pt>
                <c:pt idx="392">
                  <c:v>22-Jul-2020</c:v>
                </c:pt>
                <c:pt idx="393">
                  <c:v>23-Jul-2020</c:v>
                </c:pt>
                <c:pt idx="394">
                  <c:v>24-Jul-2020</c:v>
                </c:pt>
                <c:pt idx="395">
                  <c:v>27-Jul-2020</c:v>
                </c:pt>
                <c:pt idx="396">
                  <c:v>28-Jul-2020</c:v>
                </c:pt>
                <c:pt idx="397">
                  <c:v>29-Jul-2020</c:v>
                </c:pt>
                <c:pt idx="398">
                  <c:v>30-Jul-2020</c:v>
                </c:pt>
                <c:pt idx="399">
                  <c:v>31-Jul-2020</c:v>
                </c:pt>
                <c:pt idx="400">
                  <c:v>03-Aug-2020</c:v>
                </c:pt>
                <c:pt idx="401">
                  <c:v>04-Aug-2020</c:v>
                </c:pt>
                <c:pt idx="402">
                  <c:v>05-Aug-2020</c:v>
                </c:pt>
                <c:pt idx="403">
                  <c:v>06-Aug-2020</c:v>
                </c:pt>
                <c:pt idx="404">
                  <c:v>07-Aug-2020</c:v>
                </c:pt>
                <c:pt idx="405">
                  <c:v>10-Aug-2020</c:v>
                </c:pt>
                <c:pt idx="406">
                  <c:v>11-Aug-2020</c:v>
                </c:pt>
                <c:pt idx="407">
                  <c:v>12-Aug-2020</c:v>
                </c:pt>
                <c:pt idx="408">
                  <c:v>13-Aug-2020</c:v>
                </c:pt>
                <c:pt idx="409">
                  <c:v>14-Aug-2020</c:v>
                </c:pt>
                <c:pt idx="410">
                  <c:v>17-Aug-2020</c:v>
                </c:pt>
                <c:pt idx="411">
                  <c:v>18-Aug-2020</c:v>
                </c:pt>
                <c:pt idx="412">
                  <c:v>19-Aug-2020</c:v>
                </c:pt>
                <c:pt idx="413">
                  <c:v>20-Aug-2020</c:v>
                </c:pt>
                <c:pt idx="414">
                  <c:v>21-Aug-2020</c:v>
                </c:pt>
                <c:pt idx="415">
                  <c:v>24-Aug-2020</c:v>
                </c:pt>
                <c:pt idx="416">
                  <c:v>25-Aug-2020</c:v>
                </c:pt>
                <c:pt idx="417">
                  <c:v>26-Aug-2020</c:v>
                </c:pt>
                <c:pt idx="418">
                  <c:v>27-Aug-2020</c:v>
                </c:pt>
                <c:pt idx="419">
                  <c:v>28-Aug-2020</c:v>
                </c:pt>
                <c:pt idx="420">
                  <c:v>31-Aug-2020</c:v>
                </c:pt>
                <c:pt idx="421">
                  <c:v>01-Sep-2020</c:v>
                </c:pt>
                <c:pt idx="422">
                  <c:v>02-Sep-2020</c:v>
                </c:pt>
                <c:pt idx="423">
                  <c:v>03-Sep-2020</c:v>
                </c:pt>
                <c:pt idx="424">
                  <c:v>04-Sep-2020</c:v>
                </c:pt>
                <c:pt idx="425">
                  <c:v>07-Sep-2020</c:v>
                </c:pt>
                <c:pt idx="426">
                  <c:v>08-Sep-2020</c:v>
                </c:pt>
                <c:pt idx="427">
                  <c:v>09-Sep-2020</c:v>
                </c:pt>
                <c:pt idx="428">
                  <c:v>10-Sep-2020</c:v>
                </c:pt>
                <c:pt idx="429">
                  <c:v>11-Sep-2020</c:v>
                </c:pt>
                <c:pt idx="430">
                  <c:v>14-Sep-2020</c:v>
                </c:pt>
                <c:pt idx="431">
                  <c:v>15-Sep-2020</c:v>
                </c:pt>
                <c:pt idx="432">
                  <c:v>16-Sep-2020</c:v>
                </c:pt>
                <c:pt idx="433">
                  <c:v>17-Sep-2020</c:v>
                </c:pt>
                <c:pt idx="434">
                  <c:v>18-Sep-2020</c:v>
                </c:pt>
                <c:pt idx="435">
                  <c:v>21-Sep-2020</c:v>
                </c:pt>
                <c:pt idx="436">
                  <c:v>22-Sep-2020</c:v>
                </c:pt>
                <c:pt idx="437">
                  <c:v>23-Sep-2020</c:v>
                </c:pt>
                <c:pt idx="438">
                  <c:v>24-Sep-2020</c:v>
                </c:pt>
                <c:pt idx="439">
                  <c:v>25-Sep-2020</c:v>
                </c:pt>
                <c:pt idx="440">
                  <c:v>28-Sep-2020</c:v>
                </c:pt>
                <c:pt idx="441">
                  <c:v>29-Sep-2020</c:v>
                </c:pt>
                <c:pt idx="442">
                  <c:v>30-Sep-2020</c:v>
                </c:pt>
                <c:pt idx="443">
                  <c:v>01-Oct-2020</c:v>
                </c:pt>
                <c:pt idx="444">
                  <c:v>02-Oct-2020</c:v>
                </c:pt>
                <c:pt idx="445">
                  <c:v>06-Oct-2020</c:v>
                </c:pt>
                <c:pt idx="446">
                  <c:v>07-Oct-2020</c:v>
                </c:pt>
                <c:pt idx="447">
                  <c:v>08-Oct-2020</c:v>
                </c:pt>
                <c:pt idx="448">
                  <c:v>09-Oct-2020</c:v>
                </c:pt>
                <c:pt idx="449">
                  <c:v>12-Oct-2020</c:v>
                </c:pt>
                <c:pt idx="450">
                  <c:v>13-Oct-2020</c:v>
                </c:pt>
                <c:pt idx="451">
                  <c:v>14-Oct-2020</c:v>
                </c:pt>
                <c:pt idx="452">
                  <c:v>15-Oct-2020</c:v>
                </c:pt>
                <c:pt idx="453">
                  <c:v>16-Oct-2020</c:v>
                </c:pt>
                <c:pt idx="454">
                  <c:v>19-Oct-2020</c:v>
                </c:pt>
                <c:pt idx="455">
                  <c:v>20-Oct-2020</c:v>
                </c:pt>
                <c:pt idx="456">
                  <c:v>21-Oct-2020</c:v>
                </c:pt>
                <c:pt idx="457">
                  <c:v>22-Oct-2020</c:v>
                </c:pt>
                <c:pt idx="458">
                  <c:v>23-Oct-2020</c:v>
                </c:pt>
                <c:pt idx="459">
                  <c:v>26-Oct-2020</c:v>
                </c:pt>
                <c:pt idx="460">
                  <c:v>27-Oct-2020</c:v>
                </c:pt>
                <c:pt idx="461">
                  <c:v>28-Oct-2020</c:v>
                </c:pt>
                <c:pt idx="462">
                  <c:v>29-Oct-2020</c:v>
                </c:pt>
                <c:pt idx="463">
                  <c:v>30-Oct-2020</c:v>
                </c:pt>
                <c:pt idx="464">
                  <c:v>02-Nov-2020</c:v>
                </c:pt>
                <c:pt idx="465">
                  <c:v>03-Nov-2020</c:v>
                </c:pt>
                <c:pt idx="466">
                  <c:v>04-Nov-2020</c:v>
                </c:pt>
                <c:pt idx="467">
                  <c:v>05-Nov-2020</c:v>
                </c:pt>
                <c:pt idx="468">
                  <c:v>06-Nov-2020</c:v>
                </c:pt>
                <c:pt idx="469">
                  <c:v>09-Nov-2020</c:v>
                </c:pt>
                <c:pt idx="470">
                  <c:v>10-Nov-2020</c:v>
                </c:pt>
                <c:pt idx="471">
                  <c:v>11-Nov-2020</c:v>
                </c:pt>
                <c:pt idx="472">
                  <c:v>12-Nov-2020</c:v>
                </c:pt>
                <c:pt idx="473">
                  <c:v>13-Nov-2020</c:v>
                </c:pt>
                <c:pt idx="474">
                  <c:v>16-Nov-2020</c:v>
                </c:pt>
                <c:pt idx="475">
                  <c:v>17-Nov-2020</c:v>
                </c:pt>
                <c:pt idx="476">
                  <c:v>18-Nov-2020</c:v>
                </c:pt>
                <c:pt idx="477">
                  <c:v>19-Nov-2020</c:v>
                </c:pt>
                <c:pt idx="478">
                  <c:v>20-Nov-2020</c:v>
                </c:pt>
                <c:pt idx="479">
                  <c:v>23-Nov-2020</c:v>
                </c:pt>
                <c:pt idx="480">
                  <c:v>24-Nov-2020</c:v>
                </c:pt>
                <c:pt idx="481">
                  <c:v>25-Nov-2020</c:v>
                </c:pt>
                <c:pt idx="482">
                  <c:v>26-Nov-2020</c:v>
                </c:pt>
                <c:pt idx="483">
                  <c:v>27-Nov-2020</c:v>
                </c:pt>
                <c:pt idx="484">
                  <c:v>30-Nov-2020</c:v>
                </c:pt>
                <c:pt idx="485">
                  <c:v>01-Dec-2020</c:v>
                </c:pt>
                <c:pt idx="486">
                  <c:v>02-Dec-2020</c:v>
                </c:pt>
                <c:pt idx="487">
                  <c:v>03-Dec-2020</c:v>
                </c:pt>
                <c:pt idx="488">
                  <c:v>04-Dec-2020</c:v>
                </c:pt>
                <c:pt idx="489">
                  <c:v>07-Dec-2020</c:v>
                </c:pt>
                <c:pt idx="490">
                  <c:v>08-Dec-2020</c:v>
                </c:pt>
                <c:pt idx="491">
                  <c:v>09-Dec-2020</c:v>
                </c:pt>
                <c:pt idx="492">
                  <c:v>10-Dec-2020</c:v>
                </c:pt>
                <c:pt idx="493">
                  <c:v>11-Dec-2020</c:v>
                </c:pt>
                <c:pt idx="494">
                  <c:v>14-Dec-2020</c:v>
                </c:pt>
                <c:pt idx="495">
                  <c:v>15-Dec-2020</c:v>
                </c:pt>
                <c:pt idx="496">
                  <c:v>16-Dec-2020</c:v>
                </c:pt>
                <c:pt idx="497">
                  <c:v>17-Dec-2020</c:v>
                </c:pt>
                <c:pt idx="498">
                  <c:v>18-Dec-2020</c:v>
                </c:pt>
                <c:pt idx="499">
                  <c:v>21-Dec-2020</c:v>
                </c:pt>
                <c:pt idx="500">
                  <c:v>22-Dec-2020</c:v>
                </c:pt>
                <c:pt idx="501">
                  <c:v>23-Dec-2020</c:v>
                </c:pt>
                <c:pt idx="502">
                  <c:v>24-Dec-2020</c:v>
                </c:pt>
                <c:pt idx="503">
                  <c:v>29-Dec-2020</c:v>
                </c:pt>
                <c:pt idx="504">
                  <c:v>30-Dec-2020</c:v>
                </c:pt>
                <c:pt idx="505">
                  <c:v>31-Dec-2020</c:v>
                </c:pt>
                <c:pt idx="506">
                  <c:v>04-Jan-2021</c:v>
                </c:pt>
                <c:pt idx="507">
                  <c:v>05-Jan-2021</c:v>
                </c:pt>
                <c:pt idx="508">
                  <c:v>06-Jan-2021</c:v>
                </c:pt>
                <c:pt idx="509">
                  <c:v>07-Jan-2021</c:v>
                </c:pt>
                <c:pt idx="510">
                  <c:v>08-Jan-2021</c:v>
                </c:pt>
                <c:pt idx="511">
                  <c:v>11-Jan-2021</c:v>
                </c:pt>
                <c:pt idx="512">
                  <c:v>12-Jan-2021</c:v>
                </c:pt>
                <c:pt idx="513">
                  <c:v>13-Jan-2021</c:v>
                </c:pt>
                <c:pt idx="514">
                  <c:v>14-Jan-2021</c:v>
                </c:pt>
                <c:pt idx="515">
                  <c:v>15-Jan-2021</c:v>
                </c:pt>
                <c:pt idx="516">
                  <c:v>18-Jan-2021</c:v>
                </c:pt>
                <c:pt idx="517">
                  <c:v>19-Jan-2021</c:v>
                </c:pt>
                <c:pt idx="518">
                  <c:v>20-Jan-2021</c:v>
                </c:pt>
                <c:pt idx="519">
                  <c:v>21-Jan-2021</c:v>
                </c:pt>
                <c:pt idx="520">
                  <c:v>22-Jan-2021</c:v>
                </c:pt>
                <c:pt idx="521">
                  <c:v>25-Jan-2021</c:v>
                </c:pt>
                <c:pt idx="522">
                  <c:v>27-Jan-2021</c:v>
                </c:pt>
                <c:pt idx="523">
                  <c:v>28-Jan-2021</c:v>
                </c:pt>
                <c:pt idx="524">
                  <c:v>29-Jan-2021</c:v>
                </c:pt>
                <c:pt idx="525">
                  <c:v>01-Feb-2021</c:v>
                </c:pt>
                <c:pt idx="526">
                  <c:v>02-Feb-2021</c:v>
                </c:pt>
                <c:pt idx="527">
                  <c:v>03-Feb-2021</c:v>
                </c:pt>
                <c:pt idx="528">
                  <c:v>04-Feb-2021</c:v>
                </c:pt>
                <c:pt idx="529">
                  <c:v>05-Feb-2021</c:v>
                </c:pt>
                <c:pt idx="530">
                  <c:v>08-Feb-2021</c:v>
                </c:pt>
                <c:pt idx="531">
                  <c:v>09-Feb-2021</c:v>
                </c:pt>
                <c:pt idx="532">
                  <c:v>10-Feb-2021</c:v>
                </c:pt>
                <c:pt idx="533">
                  <c:v>11-Feb-2021</c:v>
                </c:pt>
                <c:pt idx="534">
                  <c:v>12-Feb-2021</c:v>
                </c:pt>
                <c:pt idx="535">
                  <c:v>15-Feb-2021</c:v>
                </c:pt>
                <c:pt idx="536">
                  <c:v>16-Feb-2021</c:v>
                </c:pt>
                <c:pt idx="537">
                  <c:v>17-Feb-2021</c:v>
                </c:pt>
                <c:pt idx="538">
                  <c:v>18-Feb-2021</c:v>
                </c:pt>
                <c:pt idx="539">
                  <c:v>19-Feb-2021</c:v>
                </c:pt>
                <c:pt idx="540">
                  <c:v>22-Feb-2021</c:v>
                </c:pt>
                <c:pt idx="541">
                  <c:v>23-Feb-2021</c:v>
                </c:pt>
                <c:pt idx="542">
                  <c:v>24-Feb-2021</c:v>
                </c:pt>
                <c:pt idx="543">
                  <c:v>25-Feb-2021</c:v>
                </c:pt>
                <c:pt idx="544">
                  <c:v>26-Feb-2021</c:v>
                </c:pt>
                <c:pt idx="545">
                  <c:v>01-Mar-2021</c:v>
                </c:pt>
                <c:pt idx="546">
                  <c:v>02-Mar-2021</c:v>
                </c:pt>
                <c:pt idx="547">
                  <c:v>03-Mar-2021</c:v>
                </c:pt>
                <c:pt idx="548">
                  <c:v>04-Mar-2021</c:v>
                </c:pt>
                <c:pt idx="549">
                  <c:v>05-Mar-2021</c:v>
                </c:pt>
                <c:pt idx="550">
                  <c:v>08-Mar-2021</c:v>
                </c:pt>
                <c:pt idx="551">
                  <c:v>09-Mar-2021</c:v>
                </c:pt>
                <c:pt idx="552">
                  <c:v>10-Mar-2021</c:v>
                </c:pt>
                <c:pt idx="553">
                  <c:v>11-Mar-2021</c:v>
                </c:pt>
                <c:pt idx="554">
                  <c:v>12-Mar-2021</c:v>
                </c:pt>
                <c:pt idx="555">
                  <c:v>15-Mar-2021</c:v>
                </c:pt>
                <c:pt idx="556">
                  <c:v>16-Mar-2021</c:v>
                </c:pt>
                <c:pt idx="557">
                  <c:v>17-Mar-2021</c:v>
                </c:pt>
                <c:pt idx="558">
                  <c:v>18-Mar-2021</c:v>
                </c:pt>
                <c:pt idx="559">
                  <c:v>19-Mar-2021</c:v>
                </c:pt>
                <c:pt idx="560">
                  <c:v>22-Mar-2021</c:v>
                </c:pt>
                <c:pt idx="561">
                  <c:v>23-Mar-2021</c:v>
                </c:pt>
                <c:pt idx="562">
                  <c:v>24-Mar-2021</c:v>
                </c:pt>
                <c:pt idx="563">
                  <c:v>25-Mar-2021</c:v>
                </c:pt>
                <c:pt idx="564">
                  <c:v>26-Mar-2021</c:v>
                </c:pt>
                <c:pt idx="565">
                  <c:v>29-Mar-2021</c:v>
                </c:pt>
                <c:pt idx="566">
                  <c:v>30-Mar-2021</c:v>
                </c:pt>
                <c:pt idx="567">
                  <c:v>31-Mar-2021</c:v>
                </c:pt>
                <c:pt idx="568">
                  <c:v>01-Apr-2021</c:v>
                </c:pt>
                <c:pt idx="569">
                  <c:v>06-Apr-2021</c:v>
                </c:pt>
                <c:pt idx="570">
                  <c:v>07-Apr-2021</c:v>
                </c:pt>
                <c:pt idx="571">
                  <c:v>08-Apr-2021</c:v>
                </c:pt>
                <c:pt idx="572">
                  <c:v>09-Apr-2021</c:v>
                </c:pt>
                <c:pt idx="573">
                  <c:v>12-Apr-2021</c:v>
                </c:pt>
                <c:pt idx="574">
                  <c:v>13-Apr-2021</c:v>
                </c:pt>
                <c:pt idx="575">
                  <c:v>14-Apr-2021</c:v>
                </c:pt>
                <c:pt idx="576">
                  <c:v>15-Apr-2021</c:v>
                </c:pt>
                <c:pt idx="577">
                  <c:v>16-Apr-2021</c:v>
                </c:pt>
                <c:pt idx="578">
                  <c:v>19-Apr-2021</c:v>
                </c:pt>
                <c:pt idx="579">
                  <c:v>20-Apr-2021</c:v>
                </c:pt>
                <c:pt idx="580">
                  <c:v>21-Apr-2021</c:v>
                </c:pt>
                <c:pt idx="581">
                  <c:v>22-Apr-2021</c:v>
                </c:pt>
                <c:pt idx="582">
                  <c:v>23-Apr-2021</c:v>
                </c:pt>
                <c:pt idx="583">
                  <c:v>26-Apr-2021</c:v>
                </c:pt>
                <c:pt idx="584">
                  <c:v>27-Apr-2021</c:v>
                </c:pt>
                <c:pt idx="585">
                  <c:v>28-Apr-2021</c:v>
                </c:pt>
                <c:pt idx="586">
                  <c:v>29-Apr-2021</c:v>
                </c:pt>
                <c:pt idx="587">
                  <c:v>30-Apr-2021</c:v>
                </c:pt>
                <c:pt idx="588">
                  <c:v>03-May-2021</c:v>
                </c:pt>
                <c:pt idx="589">
                  <c:v>04-May-2021</c:v>
                </c:pt>
                <c:pt idx="590">
                  <c:v>05-May-2021</c:v>
                </c:pt>
                <c:pt idx="591">
                  <c:v>06-May-2021</c:v>
                </c:pt>
                <c:pt idx="592">
                  <c:v>07-May-2021</c:v>
                </c:pt>
                <c:pt idx="593">
                  <c:v>10-May-2021</c:v>
                </c:pt>
                <c:pt idx="594">
                  <c:v>11-May-2021</c:v>
                </c:pt>
                <c:pt idx="595">
                  <c:v>12-May-2021</c:v>
                </c:pt>
                <c:pt idx="596">
                  <c:v>13-May-2021</c:v>
                </c:pt>
                <c:pt idx="597">
                  <c:v>14-May-2021</c:v>
                </c:pt>
                <c:pt idx="598">
                  <c:v>17-May-2021</c:v>
                </c:pt>
                <c:pt idx="599">
                  <c:v>18-May-2021</c:v>
                </c:pt>
                <c:pt idx="600">
                  <c:v>19-May-2021</c:v>
                </c:pt>
                <c:pt idx="601">
                  <c:v>20-May-2021</c:v>
                </c:pt>
                <c:pt idx="602">
                  <c:v>21-May-2021</c:v>
                </c:pt>
                <c:pt idx="603">
                  <c:v>24-May-2021</c:v>
                </c:pt>
                <c:pt idx="604">
                  <c:v>25-May-2021</c:v>
                </c:pt>
                <c:pt idx="605">
                  <c:v>26-May-2021</c:v>
                </c:pt>
                <c:pt idx="606">
                  <c:v>27-May-2021</c:v>
                </c:pt>
                <c:pt idx="607">
                  <c:v>28-May-2021</c:v>
                </c:pt>
                <c:pt idx="608">
                  <c:v>31-May-2021</c:v>
                </c:pt>
                <c:pt idx="609">
                  <c:v>01-Jun-2021</c:v>
                </c:pt>
                <c:pt idx="610">
                  <c:v>02-Jun-2021</c:v>
                </c:pt>
                <c:pt idx="611">
                  <c:v>03-Jun-2021</c:v>
                </c:pt>
                <c:pt idx="612">
                  <c:v>04-Jun-2021</c:v>
                </c:pt>
                <c:pt idx="613">
                  <c:v>07-Jun-2021</c:v>
                </c:pt>
                <c:pt idx="614">
                  <c:v>08-Jun-2021</c:v>
                </c:pt>
                <c:pt idx="615">
                  <c:v>09-Jun-2021</c:v>
                </c:pt>
                <c:pt idx="616">
                  <c:v>10-Jun-2021</c:v>
                </c:pt>
                <c:pt idx="617">
                  <c:v>11-Jun-2021</c:v>
                </c:pt>
                <c:pt idx="618">
                  <c:v>15-Jun-2021</c:v>
                </c:pt>
                <c:pt idx="619">
                  <c:v>16-Jun-2021</c:v>
                </c:pt>
                <c:pt idx="620">
                  <c:v>17-Jun-2021</c:v>
                </c:pt>
                <c:pt idx="621">
                  <c:v>18-Jun-2021</c:v>
                </c:pt>
                <c:pt idx="622">
                  <c:v>21-Jun-2021</c:v>
                </c:pt>
                <c:pt idx="623">
                  <c:v>22-Jun-2021</c:v>
                </c:pt>
                <c:pt idx="624">
                  <c:v>23-Jun-2021</c:v>
                </c:pt>
                <c:pt idx="625">
                  <c:v>24-Jun-2021</c:v>
                </c:pt>
                <c:pt idx="626">
                  <c:v>25-Jun-2021</c:v>
                </c:pt>
                <c:pt idx="627">
                  <c:v>28-Jun-2021</c:v>
                </c:pt>
                <c:pt idx="628">
                  <c:v>29-Jun-2021</c:v>
                </c:pt>
                <c:pt idx="629">
                  <c:v>30-Jun-2021</c:v>
                </c:pt>
                <c:pt idx="630">
                  <c:v>01-Jul-2021</c:v>
                </c:pt>
                <c:pt idx="631">
                  <c:v>02-Jul-2021</c:v>
                </c:pt>
                <c:pt idx="632">
                  <c:v>05-Jul-2021</c:v>
                </c:pt>
                <c:pt idx="633">
                  <c:v>06-Jul-2021</c:v>
                </c:pt>
                <c:pt idx="634">
                  <c:v>07-Jul-2021</c:v>
                </c:pt>
                <c:pt idx="635">
                  <c:v>08-Jul-2021</c:v>
                </c:pt>
                <c:pt idx="636">
                  <c:v>09-Jul-2021</c:v>
                </c:pt>
                <c:pt idx="637">
                  <c:v>12-Jul-2021</c:v>
                </c:pt>
                <c:pt idx="638">
                  <c:v>13-Jul-2021</c:v>
                </c:pt>
                <c:pt idx="639">
                  <c:v>14-Jul-2021</c:v>
                </c:pt>
                <c:pt idx="640">
                  <c:v>15-Jul-2021</c:v>
                </c:pt>
                <c:pt idx="641">
                  <c:v>16-Jul-2021</c:v>
                </c:pt>
                <c:pt idx="642">
                  <c:v>19-Jul-2021</c:v>
                </c:pt>
                <c:pt idx="643">
                  <c:v>20-Jul-2021</c:v>
                </c:pt>
                <c:pt idx="644">
                  <c:v>21-Jul-2021</c:v>
                </c:pt>
                <c:pt idx="645">
                  <c:v>22-Jul-2021</c:v>
                </c:pt>
                <c:pt idx="646">
                  <c:v>23-Jul-2021</c:v>
                </c:pt>
                <c:pt idx="647">
                  <c:v>26-Jul-2021</c:v>
                </c:pt>
                <c:pt idx="648">
                  <c:v>27-Jul-2021</c:v>
                </c:pt>
                <c:pt idx="649">
                  <c:v>28-Jul-2021</c:v>
                </c:pt>
                <c:pt idx="650">
                  <c:v>29-Jul-2021</c:v>
                </c:pt>
                <c:pt idx="651">
                  <c:v>30-Jul-2021</c:v>
                </c:pt>
                <c:pt idx="652">
                  <c:v>03-Aug-2021</c:v>
                </c:pt>
                <c:pt idx="653">
                  <c:v>04-Aug-2021</c:v>
                </c:pt>
                <c:pt idx="654">
                  <c:v>05-Aug-2021</c:v>
                </c:pt>
                <c:pt idx="655">
                  <c:v>06-Aug-2021</c:v>
                </c:pt>
                <c:pt idx="656">
                  <c:v>09-Aug-2021</c:v>
                </c:pt>
                <c:pt idx="657">
                  <c:v>10-Aug-2021</c:v>
                </c:pt>
                <c:pt idx="658">
                  <c:v>11-Aug-2021</c:v>
                </c:pt>
                <c:pt idx="659">
                  <c:v>12-Aug-2021</c:v>
                </c:pt>
                <c:pt idx="660">
                  <c:v>13-Aug-2021</c:v>
                </c:pt>
                <c:pt idx="661">
                  <c:v>16-Aug-2021</c:v>
                </c:pt>
                <c:pt idx="662">
                  <c:v>17-Aug-2021</c:v>
                </c:pt>
                <c:pt idx="663">
                  <c:v>18-Aug-2021</c:v>
                </c:pt>
                <c:pt idx="664">
                  <c:v>19-Aug-2021</c:v>
                </c:pt>
                <c:pt idx="665">
                  <c:v>20-Aug-2021</c:v>
                </c:pt>
                <c:pt idx="666">
                  <c:v>23-Aug-2021</c:v>
                </c:pt>
                <c:pt idx="667">
                  <c:v>24-Aug-2021</c:v>
                </c:pt>
                <c:pt idx="668">
                  <c:v>25-Aug-2021</c:v>
                </c:pt>
                <c:pt idx="669">
                  <c:v>26-Aug-2021</c:v>
                </c:pt>
                <c:pt idx="670">
                  <c:v>27-Aug-2021</c:v>
                </c:pt>
                <c:pt idx="671">
                  <c:v>30-Aug-2021</c:v>
                </c:pt>
                <c:pt idx="672">
                  <c:v>31-Aug-2021</c:v>
                </c:pt>
                <c:pt idx="673">
                  <c:v>01-Sep-2021</c:v>
                </c:pt>
                <c:pt idx="674">
                  <c:v>02-Sep-2021</c:v>
                </c:pt>
                <c:pt idx="675">
                  <c:v>03-Sep-2021</c:v>
                </c:pt>
                <c:pt idx="676">
                  <c:v>06-Sep-2021</c:v>
                </c:pt>
                <c:pt idx="677">
                  <c:v>07-Sep-2021</c:v>
                </c:pt>
                <c:pt idx="678">
                  <c:v>08-Sep-2021</c:v>
                </c:pt>
                <c:pt idx="679">
                  <c:v>09-Sep-2021</c:v>
                </c:pt>
                <c:pt idx="680">
                  <c:v>10-Sep-2021</c:v>
                </c:pt>
                <c:pt idx="681">
                  <c:v>13-Sep-2021</c:v>
                </c:pt>
                <c:pt idx="682">
                  <c:v>14-Sep-2021</c:v>
                </c:pt>
                <c:pt idx="683">
                  <c:v>15-Sep-2021</c:v>
                </c:pt>
                <c:pt idx="684">
                  <c:v>16-Sep-2021</c:v>
                </c:pt>
                <c:pt idx="685">
                  <c:v>17-Sep-2021</c:v>
                </c:pt>
                <c:pt idx="686">
                  <c:v>20-Sep-2021</c:v>
                </c:pt>
                <c:pt idx="687">
                  <c:v>21-Sep-2021</c:v>
                </c:pt>
                <c:pt idx="688">
                  <c:v>22-Sep-2021</c:v>
                </c:pt>
                <c:pt idx="689">
                  <c:v>23-Sep-2021</c:v>
                </c:pt>
                <c:pt idx="690">
                  <c:v>24-Sep-2021</c:v>
                </c:pt>
                <c:pt idx="691">
                  <c:v>27-Sep-2021</c:v>
                </c:pt>
                <c:pt idx="692">
                  <c:v>28-Sep-2021</c:v>
                </c:pt>
                <c:pt idx="693">
                  <c:v>29-Sep-2021</c:v>
                </c:pt>
                <c:pt idx="694">
                  <c:v>30-Sep-2021</c:v>
                </c:pt>
                <c:pt idx="695">
                  <c:v>01-Oct-2021</c:v>
                </c:pt>
                <c:pt idx="696">
                  <c:v>05-Oct-2021</c:v>
                </c:pt>
                <c:pt idx="697">
                  <c:v>06-Oct-2021</c:v>
                </c:pt>
                <c:pt idx="698">
                  <c:v>07-Oct-2021</c:v>
                </c:pt>
                <c:pt idx="699">
                  <c:v>08-Oct-2021</c:v>
                </c:pt>
                <c:pt idx="700">
                  <c:v>11-Oct-2021</c:v>
                </c:pt>
                <c:pt idx="701">
                  <c:v>12-Oct-2021</c:v>
                </c:pt>
                <c:pt idx="702">
                  <c:v>13-Oct-2021</c:v>
                </c:pt>
                <c:pt idx="703">
                  <c:v>14-Oct-2021</c:v>
                </c:pt>
                <c:pt idx="704">
                  <c:v>15-Oct-2021</c:v>
                </c:pt>
                <c:pt idx="705">
                  <c:v>18-Oct-2021</c:v>
                </c:pt>
                <c:pt idx="706">
                  <c:v>19-Oct-2021</c:v>
                </c:pt>
                <c:pt idx="707">
                  <c:v>20-Oct-2021</c:v>
                </c:pt>
                <c:pt idx="708">
                  <c:v>21-Oct-2021</c:v>
                </c:pt>
                <c:pt idx="709">
                  <c:v>22-Oct-2021</c:v>
                </c:pt>
                <c:pt idx="710">
                  <c:v>25-Oct-2021</c:v>
                </c:pt>
                <c:pt idx="711">
                  <c:v>26-Oct-2021</c:v>
                </c:pt>
                <c:pt idx="712">
                  <c:v>27-Oct-2021</c:v>
                </c:pt>
                <c:pt idx="713">
                  <c:v>28-Oct-2021</c:v>
                </c:pt>
                <c:pt idx="714">
                  <c:v>29-Oct-2021</c:v>
                </c:pt>
                <c:pt idx="715">
                  <c:v>01-Nov-2021</c:v>
                </c:pt>
                <c:pt idx="716">
                  <c:v>02-Nov-2021</c:v>
                </c:pt>
                <c:pt idx="717">
                  <c:v>03-Nov-2021</c:v>
                </c:pt>
                <c:pt idx="718">
                  <c:v>04-Nov-2021</c:v>
                </c:pt>
                <c:pt idx="719">
                  <c:v>05-Nov-2021</c:v>
                </c:pt>
                <c:pt idx="720">
                  <c:v>08-Nov-2021</c:v>
                </c:pt>
                <c:pt idx="721">
                  <c:v>09-Nov-2021</c:v>
                </c:pt>
                <c:pt idx="722">
                  <c:v>10-Nov-2021</c:v>
                </c:pt>
                <c:pt idx="723">
                  <c:v>11-Nov-2021</c:v>
                </c:pt>
                <c:pt idx="724">
                  <c:v>12-Nov-2021</c:v>
                </c:pt>
                <c:pt idx="725">
                  <c:v>15-Nov-2021</c:v>
                </c:pt>
                <c:pt idx="726">
                  <c:v>16-Nov-2021</c:v>
                </c:pt>
                <c:pt idx="727">
                  <c:v>17-Nov-2021</c:v>
                </c:pt>
                <c:pt idx="728">
                  <c:v>18-Nov-2021</c:v>
                </c:pt>
                <c:pt idx="729">
                  <c:v>19-Nov-2021</c:v>
                </c:pt>
                <c:pt idx="730">
                  <c:v>22-Nov-2021</c:v>
                </c:pt>
                <c:pt idx="731">
                  <c:v>23-Nov-2021</c:v>
                </c:pt>
                <c:pt idx="732">
                  <c:v>24-Nov-2021</c:v>
                </c:pt>
                <c:pt idx="733">
                  <c:v>25-Nov-2021</c:v>
                </c:pt>
                <c:pt idx="734">
                  <c:v>26-Nov-2021</c:v>
                </c:pt>
                <c:pt idx="735">
                  <c:v>29-Nov-2021</c:v>
                </c:pt>
                <c:pt idx="736">
                  <c:v>30-Nov-2021</c:v>
                </c:pt>
                <c:pt idx="737">
                  <c:v>01-Dec-2021</c:v>
                </c:pt>
                <c:pt idx="738">
                  <c:v>02-Dec-2021</c:v>
                </c:pt>
                <c:pt idx="739">
                  <c:v>03-Dec-2021</c:v>
                </c:pt>
                <c:pt idx="740">
                  <c:v>06-Dec-2021</c:v>
                </c:pt>
                <c:pt idx="741">
                  <c:v>07-Dec-2021</c:v>
                </c:pt>
                <c:pt idx="742">
                  <c:v>08-Dec-2021</c:v>
                </c:pt>
                <c:pt idx="743">
                  <c:v>09-Dec-2021</c:v>
                </c:pt>
                <c:pt idx="744">
                  <c:v>10-Dec-2021</c:v>
                </c:pt>
                <c:pt idx="745">
                  <c:v>13-Dec-2021</c:v>
                </c:pt>
                <c:pt idx="746">
                  <c:v>14-Dec-2021</c:v>
                </c:pt>
                <c:pt idx="747">
                  <c:v>15-Dec-2021</c:v>
                </c:pt>
                <c:pt idx="748">
                  <c:v>16-Dec-2021</c:v>
                </c:pt>
                <c:pt idx="749">
                  <c:v>17-Dec-2021</c:v>
                </c:pt>
                <c:pt idx="750">
                  <c:v>20-Dec-2021</c:v>
                </c:pt>
                <c:pt idx="751">
                  <c:v>21-Dec-2021</c:v>
                </c:pt>
                <c:pt idx="752">
                  <c:v>22-Dec-2021</c:v>
                </c:pt>
                <c:pt idx="753">
                  <c:v>23-Dec-2021</c:v>
                </c:pt>
                <c:pt idx="754">
                  <c:v>24-Dec-2021</c:v>
                </c:pt>
                <c:pt idx="755">
                  <c:v>29-Dec-2021</c:v>
                </c:pt>
                <c:pt idx="756">
                  <c:v>30-Dec-2021</c:v>
                </c:pt>
                <c:pt idx="757">
                  <c:v>31-Dec-2021</c:v>
                </c:pt>
                <c:pt idx="758">
                  <c:v>04-Jan-2022</c:v>
                </c:pt>
                <c:pt idx="759">
                  <c:v>05-Jan-2022</c:v>
                </c:pt>
                <c:pt idx="760">
                  <c:v>06-Jan-2022</c:v>
                </c:pt>
                <c:pt idx="761">
                  <c:v>07-Jan-2022</c:v>
                </c:pt>
                <c:pt idx="762">
                  <c:v>10-Jan-2022</c:v>
                </c:pt>
                <c:pt idx="763">
                  <c:v>11-Jan-2022</c:v>
                </c:pt>
                <c:pt idx="764">
                  <c:v>12-Jan-2022</c:v>
                </c:pt>
                <c:pt idx="765">
                  <c:v>13-Jan-2022</c:v>
                </c:pt>
                <c:pt idx="766">
                  <c:v>14-Jan-2022</c:v>
                </c:pt>
                <c:pt idx="767">
                  <c:v>17-Jan-2022</c:v>
                </c:pt>
                <c:pt idx="768">
                  <c:v>18-Jan-2022</c:v>
                </c:pt>
                <c:pt idx="769">
                  <c:v>19-Jan-2022</c:v>
                </c:pt>
                <c:pt idx="770">
                  <c:v>20-Jan-2022</c:v>
                </c:pt>
                <c:pt idx="771">
                  <c:v>21-Jan-2022</c:v>
                </c:pt>
                <c:pt idx="772">
                  <c:v>24-Jan-2022</c:v>
                </c:pt>
                <c:pt idx="773">
                  <c:v>25-Jan-2022</c:v>
                </c:pt>
                <c:pt idx="774">
                  <c:v>27-Jan-2022</c:v>
                </c:pt>
                <c:pt idx="775">
                  <c:v>28-Jan-2022</c:v>
                </c:pt>
                <c:pt idx="776">
                  <c:v>31-Jan-2022</c:v>
                </c:pt>
                <c:pt idx="777">
                  <c:v>01-Feb-2022</c:v>
                </c:pt>
                <c:pt idx="778">
                  <c:v>02-Feb-2022</c:v>
                </c:pt>
                <c:pt idx="779">
                  <c:v>03-Feb-2022</c:v>
                </c:pt>
                <c:pt idx="780">
                  <c:v>04-Feb-2022</c:v>
                </c:pt>
                <c:pt idx="781">
                  <c:v>07-Feb-2022</c:v>
                </c:pt>
                <c:pt idx="782">
                  <c:v>08-Feb-2022</c:v>
                </c:pt>
                <c:pt idx="783">
                  <c:v>09-Feb-2022</c:v>
                </c:pt>
                <c:pt idx="784">
                  <c:v>10-Feb-2022</c:v>
                </c:pt>
                <c:pt idx="785">
                  <c:v>11-Feb-2022</c:v>
                </c:pt>
                <c:pt idx="786">
                  <c:v>14-Feb-2022</c:v>
                </c:pt>
                <c:pt idx="787">
                  <c:v>15-Feb-2022</c:v>
                </c:pt>
                <c:pt idx="788">
                  <c:v>16-Feb-2022</c:v>
                </c:pt>
                <c:pt idx="789">
                  <c:v>17-Feb-2022</c:v>
                </c:pt>
                <c:pt idx="790">
                  <c:v>18-Feb-2022</c:v>
                </c:pt>
                <c:pt idx="791">
                  <c:v>21-Feb-2022</c:v>
                </c:pt>
                <c:pt idx="792">
                  <c:v>22-Feb-2022</c:v>
                </c:pt>
                <c:pt idx="793">
                  <c:v>23-Feb-2022</c:v>
                </c:pt>
                <c:pt idx="794">
                  <c:v>24-Feb-2022</c:v>
                </c:pt>
                <c:pt idx="795">
                  <c:v>25-Feb-2022</c:v>
                </c:pt>
                <c:pt idx="796">
                  <c:v>28-Feb-2022</c:v>
                </c:pt>
                <c:pt idx="797">
                  <c:v>01-Mar-2022</c:v>
                </c:pt>
                <c:pt idx="798">
                  <c:v>02-Mar-2022</c:v>
                </c:pt>
                <c:pt idx="799">
                  <c:v>03-Mar-2022</c:v>
                </c:pt>
                <c:pt idx="800">
                  <c:v>04-Mar-2022</c:v>
                </c:pt>
                <c:pt idx="801">
                  <c:v>07-Mar-2022</c:v>
                </c:pt>
                <c:pt idx="802">
                  <c:v>08-Mar-2022</c:v>
                </c:pt>
                <c:pt idx="803">
                  <c:v>09-Mar-2022</c:v>
                </c:pt>
                <c:pt idx="804">
                  <c:v>10-Mar-2022</c:v>
                </c:pt>
                <c:pt idx="805">
                  <c:v>11-Mar-2022</c:v>
                </c:pt>
                <c:pt idx="806">
                  <c:v>14-Mar-2022</c:v>
                </c:pt>
                <c:pt idx="807">
                  <c:v>15-Mar-2022</c:v>
                </c:pt>
                <c:pt idx="808">
                  <c:v>16-Mar-2022</c:v>
                </c:pt>
                <c:pt idx="809">
                  <c:v>17-Mar-2022</c:v>
                </c:pt>
                <c:pt idx="810">
                  <c:v>18-Mar-2022</c:v>
                </c:pt>
                <c:pt idx="811">
                  <c:v>21-Mar-2022</c:v>
                </c:pt>
                <c:pt idx="812">
                  <c:v>22-Mar-2022</c:v>
                </c:pt>
                <c:pt idx="813">
                  <c:v>23-Mar-2022</c:v>
                </c:pt>
                <c:pt idx="814">
                  <c:v>24-Mar-2022</c:v>
                </c:pt>
                <c:pt idx="815">
                  <c:v>25-Mar-2022</c:v>
                </c:pt>
                <c:pt idx="816">
                  <c:v>28-Mar-2022</c:v>
                </c:pt>
                <c:pt idx="817">
                  <c:v>29-Mar-2022</c:v>
                </c:pt>
                <c:pt idx="818">
                  <c:v>30-Mar-2022</c:v>
                </c:pt>
                <c:pt idx="819">
                  <c:v>31-Mar-2022</c:v>
                </c:pt>
                <c:pt idx="820">
                  <c:v>01-Apr-2022</c:v>
                </c:pt>
                <c:pt idx="821">
                  <c:v>04-Apr-2022</c:v>
                </c:pt>
                <c:pt idx="822">
                  <c:v>05-Apr-2022</c:v>
                </c:pt>
                <c:pt idx="823">
                  <c:v>06-Apr-2022</c:v>
                </c:pt>
                <c:pt idx="824">
                  <c:v>07-Apr-2022</c:v>
                </c:pt>
                <c:pt idx="825">
                  <c:v>08-Apr-2022</c:v>
                </c:pt>
                <c:pt idx="826">
                  <c:v>11-Apr-2022</c:v>
                </c:pt>
                <c:pt idx="827">
                  <c:v>12-Apr-2022</c:v>
                </c:pt>
                <c:pt idx="828">
                  <c:v>13-Apr-2022</c:v>
                </c:pt>
                <c:pt idx="829">
                  <c:v>14-Apr-2022</c:v>
                </c:pt>
                <c:pt idx="830">
                  <c:v>19-Apr-2022</c:v>
                </c:pt>
                <c:pt idx="831">
                  <c:v>20-Apr-2022</c:v>
                </c:pt>
                <c:pt idx="832">
                  <c:v>21-Apr-2022</c:v>
                </c:pt>
                <c:pt idx="833">
                  <c:v>22-Apr-2022</c:v>
                </c:pt>
                <c:pt idx="834">
                  <c:v>26-Apr-2022</c:v>
                </c:pt>
                <c:pt idx="835">
                  <c:v>27-Apr-2022</c:v>
                </c:pt>
                <c:pt idx="836">
                  <c:v>28-Apr-2022</c:v>
                </c:pt>
                <c:pt idx="837">
                  <c:v>29-Apr-2022</c:v>
                </c:pt>
                <c:pt idx="838">
                  <c:v>02-May-2022</c:v>
                </c:pt>
                <c:pt idx="839">
                  <c:v>03-May-2022</c:v>
                </c:pt>
                <c:pt idx="840">
                  <c:v>04-May-2022</c:v>
                </c:pt>
                <c:pt idx="841">
                  <c:v>05-May-2022</c:v>
                </c:pt>
                <c:pt idx="842">
                  <c:v>06-May-2022</c:v>
                </c:pt>
                <c:pt idx="843">
                  <c:v>09-May-2022</c:v>
                </c:pt>
                <c:pt idx="844">
                  <c:v>10-May-2022</c:v>
                </c:pt>
                <c:pt idx="845">
                  <c:v>11-May-2022</c:v>
                </c:pt>
                <c:pt idx="846">
                  <c:v>12-May-2022</c:v>
                </c:pt>
                <c:pt idx="847">
                  <c:v>13-May-2022</c:v>
                </c:pt>
                <c:pt idx="848">
                  <c:v>16-May-2022</c:v>
                </c:pt>
                <c:pt idx="849">
                  <c:v>17-May-2022</c:v>
                </c:pt>
                <c:pt idx="850">
                  <c:v>18-May-2022</c:v>
                </c:pt>
                <c:pt idx="851">
                  <c:v>19-May-2022</c:v>
                </c:pt>
                <c:pt idx="852">
                  <c:v>20-May-2022</c:v>
                </c:pt>
                <c:pt idx="853">
                  <c:v>23-May-2022</c:v>
                </c:pt>
                <c:pt idx="854">
                  <c:v>24-May-2022</c:v>
                </c:pt>
                <c:pt idx="855">
                  <c:v>25-May-2022</c:v>
                </c:pt>
                <c:pt idx="856">
                  <c:v>26-May-2022</c:v>
                </c:pt>
                <c:pt idx="857">
                  <c:v>27-May-2022</c:v>
                </c:pt>
                <c:pt idx="858">
                  <c:v>30-May-2022</c:v>
                </c:pt>
                <c:pt idx="859">
                  <c:v>31-May-2022</c:v>
                </c:pt>
                <c:pt idx="860">
                  <c:v>01-Jun-2022</c:v>
                </c:pt>
                <c:pt idx="861">
                  <c:v>02-Jun-2022</c:v>
                </c:pt>
                <c:pt idx="862">
                  <c:v>03-Jun-2022</c:v>
                </c:pt>
                <c:pt idx="863">
                  <c:v>06-Jun-2022</c:v>
                </c:pt>
                <c:pt idx="864">
                  <c:v>07-Jun-2022</c:v>
                </c:pt>
                <c:pt idx="865">
                  <c:v>08-Jun-2022</c:v>
                </c:pt>
                <c:pt idx="866">
                  <c:v>09-Jun-2022</c:v>
                </c:pt>
                <c:pt idx="867">
                  <c:v>10-Jun-2022</c:v>
                </c:pt>
                <c:pt idx="868">
                  <c:v>14-Jun-2022</c:v>
                </c:pt>
                <c:pt idx="869">
                  <c:v>15-Jun-2022</c:v>
                </c:pt>
                <c:pt idx="870">
                  <c:v>16-Jun-2022</c:v>
                </c:pt>
                <c:pt idx="871">
                  <c:v>17-Jun-2022</c:v>
                </c:pt>
                <c:pt idx="872">
                  <c:v>20-Jun-2022</c:v>
                </c:pt>
                <c:pt idx="873">
                  <c:v>21-Jun-2022</c:v>
                </c:pt>
                <c:pt idx="874">
                  <c:v>22-Jun-2022</c:v>
                </c:pt>
                <c:pt idx="875">
                  <c:v>23-Jun-2022</c:v>
                </c:pt>
                <c:pt idx="876">
                  <c:v>24-Jun-2022</c:v>
                </c:pt>
                <c:pt idx="877">
                  <c:v>27-Jun-2022</c:v>
                </c:pt>
                <c:pt idx="878">
                  <c:v>28-Jun-2022</c:v>
                </c:pt>
                <c:pt idx="879">
                  <c:v>29-Jun-2022</c:v>
                </c:pt>
                <c:pt idx="880">
                  <c:v>30-Jun-2022</c:v>
                </c:pt>
                <c:pt idx="881">
                  <c:v>01-Jul-2022</c:v>
                </c:pt>
                <c:pt idx="882">
                  <c:v>04-Jul-2022</c:v>
                </c:pt>
                <c:pt idx="883">
                  <c:v>05-Jul-2022</c:v>
                </c:pt>
                <c:pt idx="884">
                  <c:v>06-Jul-2022</c:v>
                </c:pt>
                <c:pt idx="885">
                  <c:v>07-Jul-2022</c:v>
                </c:pt>
                <c:pt idx="886">
                  <c:v>08-Jul-2022</c:v>
                </c:pt>
                <c:pt idx="887">
                  <c:v>11-Jul-2022</c:v>
                </c:pt>
                <c:pt idx="888">
                  <c:v>12-Jul-2022</c:v>
                </c:pt>
                <c:pt idx="889">
                  <c:v>13-Jul-2022</c:v>
                </c:pt>
                <c:pt idx="890">
                  <c:v>14-Jul-2022</c:v>
                </c:pt>
                <c:pt idx="891">
                  <c:v>15-Jul-2022</c:v>
                </c:pt>
                <c:pt idx="892">
                  <c:v>18-Jul-2022</c:v>
                </c:pt>
                <c:pt idx="893">
                  <c:v>19-Jul-2022</c:v>
                </c:pt>
                <c:pt idx="894">
                  <c:v>20-Jul-2022</c:v>
                </c:pt>
                <c:pt idx="895">
                  <c:v>21-Jul-2022</c:v>
                </c:pt>
                <c:pt idx="896">
                  <c:v>22-Jul-2022</c:v>
                </c:pt>
                <c:pt idx="897">
                  <c:v>25-Jul-2022</c:v>
                </c:pt>
                <c:pt idx="898">
                  <c:v>26-Jul-2022</c:v>
                </c:pt>
                <c:pt idx="899">
                  <c:v>27-Jul-2022</c:v>
                </c:pt>
                <c:pt idx="900">
                  <c:v>28-Jul-2022</c:v>
                </c:pt>
                <c:pt idx="901">
                  <c:v>29-Jul-2022</c:v>
                </c:pt>
                <c:pt idx="902">
                  <c:v>01-Aug-2022</c:v>
                </c:pt>
                <c:pt idx="903">
                  <c:v>02-Aug-2022</c:v>
                </c:pt>
                <c:pt idx="904">
                  <c:v>03-Aug-2022</c:v>
                </c:pt>
                <c:pt idx="905">
                  <c:v>04-Aug-2022</c:v>
                </c:pt>
                <c:pt idx="906">
                  <c:v>05-Aug-2022</c:v>
                </c:pt>
                <c:pt idx="907">
                  <c:v>08-Aug-2022</c:v>
                </c:pt>
                <c:pt idx="908">
                  <c:v>09-Aug-2022</c:v>
                </c:pt>
                <c:pt idx="909">
                  <c:v>10-Aug-2022</c:v>
                </c:pt>
                <c:pt idx="910">
                  <c:v>11-Aug-2022</c:v>
                </c:pt>
                <c:pt idx="911">
                  <c:v>12-Aug-2022</c:v>
                </c:pt>
                <c:pt idx="912">
                  <c:v>15-Aug-2022</c:v>
                </c:pt>
                <c:pt idx="913">
                  <c:v>16-Aug-2022</c:v>
                </c:pt>
                <c:pt idx="914">
                  <c:v>17-Aug-2022</c:v>
                </c:pt>
                <c:pt idx="915">
                  <c:v>18-Aug-2022</c:v>
                </c:pt>
                <c:pt idx="916">
                  <c:v>19-Aug-2022</c:v>
                </c:pt>
                <c:pt idx="917">
                  <c:v>22-Aug-2022</c:v>
                </c:pt>
                <c:pt idx="918">
                  <c:v>23-Aug-2022</c:v>
                </c:pt>
                <c:pt idx="919">
                  <c:v>24-Aug-2022</c:v>
                </c:pt>
                <c:pt idx="920">
                  <c:v>25-Aug-2022</c:v>
                </c:pt>
                <c:pt idx="921">
                  <c:v>26-Aug-2022</c:v>
                </c:pt>
                <c:pt idx="922">
                  <c:v>29-Aug-2022</c:v>
                </c:pt>
                <c:pt idx="923">
                  <c:v>30-Aug-2022</c:v>
                </c:pt>
                <c:pt idx="924">
                  <c:v>31-Aug-2022</c:v>
                </c:pt>
                <c:pt idx="925">
                  <c:v>01-Sep-2022</c:v>
                </c:pt>
                <c:pt idx="926">
                  <c:v>02-Sep-2022</c:v>
                </c:pt>
                <c:pt idx="927">
                  <c:v>05-Sep-2022</c:v>
                </c:pt>
                <c:pt idx="928">
                  <c:v>06-Sep-2022</c:v>
                </c:pt>
                <c:pt idx="929">
                  <c:v>07-Sep-2022</c:v>
                </c:pt>
                <c:pt idx="930">
                  <c:v>08-Sep-2022</c:v>
                </c:pt>
                <c:pt idx="931">
                  <c:v>09-Sep-2022</c:v>
                </c:pt>
                <c:pt idx="932">
                  <c:v>12-Sep-2022</c:v>
                </c:pt>
                <c:pt idx="933">
                  <c:v>13-Sep-2022</c:v>
                </c:pt>
                <c:pt idx="934">
                  <c:v>14-Sep-2022</c:v>
                </c:pt>
                <c:pt idx="935">
                  <c:v>15-Sep-2022</c:v>
                </c:pt>
                <c:pt idx="936">
                  <c:v>16-Sep-2022</c:v>
                </c:pt>
                <c:pt idx="937">
                  <c:v>19-Sep-2022</c:v>
                </c:pt>
                <c:pt idx="938">
                  <c:v>20-Sep-2022</c:v>
                </c:pt>
                <c:pt idx="939">
                  <c:v>21-Sep-2022</c:v>
                </c:pt>
                <c:pt idx="940">
                  <c:v>23-Sep-2022</c:v>
                </c:pt>
                <c:pt idx="941">
                  <c:v>26-Sep-2022</c:v>
                </c:pt>
                <c:pt idx="942">
                  <c:v>27-Sep-2022</c:v>
                </c:pt>
                <c:pt idx="943">
                  <c:v>28-Sep-2022</c:v>
                </c:pt>
                <c:pt idx="944">
                  <c:v>29-Sep-2022</c:v>
                </c:pt>
                <c:pt idx="945">
                  <c:v>30-Sep-2022</c:v>
                </c:pt>
                <c:pt idx="946">
                  <c:v>04-Oct-2022</c:v>
                </c:pt>
                <c:pt idx="947">
                  <c:v>05-Oct-2022</c:v>
                </c:pt>
                <c:pt idx="948">
                  <c:v>06-Oct-2022</c:v>
                </c:pt>
                <c:pt idx="949">
                  <c:v>07-Oct-2022</c:v>
                </c:pt>
                <c:pt idx="950">
                  <c:v>10-Oct-2022</c:v>
                </c:pt>
                <c:pt idx="951">
                  <c:v>11-Oct-2022</c:v>
                </c:pt>
                <c:pt idx="952">
                  <c:v>12-Oct-2022</c:v>
                </c:pt>
                <c:pt idx="953">
                  <c:v>13-Oct-2022</c:v>
                </c:pt>
                <c:pt idx="954">
                  <c:v>14-Oct-2022</c:v>
                </c:pt>
                <c:pt idx="955">
                  <c:v>17-Oct-2022</c:v>
                </c:pt>
                <c:pt idx="956">
                  <c:v>18-Oct-2022</c:v>
                </c:pt>
                <c:pt idx="957">
                  <c:v>19-Oct-2022</c:v>
                </c:pt>
                <c:pt idx="958">
                  <c:v>20-Oct-2022</c:v>
                </c:pt>
                <c:pt idx="959">
                  <c:v>21-Oct-2022</c:v>
                </c:pt>
                <c:pt idx="960">
                  <c:v>24-Oct-2022</c:v>
                </c:pt>
                <c:pt idx="961">
                  <c:v>25-Oct-2022</c:v>
                </c:pt>
                <c:pt idx="962">
                  <c:v>26-Oct-2022</c:v>
                </c:pt>
                <c:pt idx="963">
                  <c:v>27-Oct-2022</c:v>
                </c:pt>
                <c:pt idx="964">
                  <c:v>28-Oct-2022</c:v>
                </c:pt>
                <c:pt idx="965">
                  <c:v>31-Oct-2022</c:v>
                </c:pt>
                <c:pt idx="966">
                  <c:v>01-Nov-2022</c:v>
                </c:pt>
                <c:pt idx="967">
                  <c:v>02-Nov-2022</c:v>
                </c:pt>
                <c:pt idx="968">
                  <c:v>03-Nov-2022</c:v>
                </c:pt>
                <c:pt idx="969">
                  <c:v>04-Nov-2022</c:v>
                </c:pt>
                <c:pt idx="970">
                  <c:v>07-Nov-2022</c:v>
                </c:pt>
                <c:pt idx="971">
                  <c:v>08-Nov-2022</c:v>
                </c:pt>
                <c:pt idx="972">
                  <c:v>09-Nov-2022</c:v>
                </c:pt>
                <c:pt idx="973">
                  <c:v>10-Nov-2022</c:v>
                </c:pt>
                <c:pt idx="974">
                  <c:v>11-Nov-2022</c:v>
                </c:pt>
                <c:pt idx="975">
                  <c:v>14-Nov-2022</c:v>
                </c:pt>
                <c:pt idx="976">
                  <c:v>15-Nov-2022</c:v>
                </c:pt>
                <c:pt idx="977">
                  <c:v>16-Nov-2022</c:v>
                </c:pt>
                <c:pt idx="978">
                  <c:v>17-Nov-2022</c:v>
                </c:pt>
                <c:pt idx="979">
                  <c:v>18-Nov-2022</c:v>
                </c:pt>
                <c:pt idx="980">
                  <c:v>21-Nov-2022</c:v>
                </c:pt>
                <c:pt idx="981">
                  <c:v>22-Nov-2022</c:v>
                </c:pt>
                <c:pt idx="982">
                  <c:v>23-Nov-2022</c:v>
                </c:pt>
                <c:pt idx="983">
                  <c:v>24-Nov-2022</c:v>
                </c:pt>
                <c:pt idx="984">
                  <c:v>25-Nov-2022</c:v>
                </c:pt>
                <c:pt idx="985">
                  <c:v>28-Nov-2022</c:v>
                </c:pt>
                <c:pt idx="986">
                  <c:v>29-Nov-2022</c:v>
                </c:pt>
                <c:pt idx="987">
                  <c:v>30-Nov-2022</c:v>
                </c:pt>
                <c:pt idx="988">
                  <c:v>01-Dec-2022</c:v>
                </c:pt>
                <c:pt idx="989">
                  <c:v>02-Dec-2022</c:v>
                </c:pt>
                <c:pt idx="990">
                  <c:v>05-Dec-2022</c:v>
                </c:pt>
                <c:pt idx="991">
                  <c:v>06-Dec-2022</c:v>
                </c:pt>
                <c:pt idx="992">
                  <c:v>07-Dec-2022</c:v>
                </c:pt>
                <c:pt idx="993">
                  <c:v>08-Dec-2022</c:v>
                </c:pt>
                <c:pt idx="994">
                  <c:v>09-Dec-2022</c:v>
                </c:pt>
                <c:pt idx="995">
                  <c:v>12-Dec-2022</c:v>
                </c:pt>
                <c:pt idx="996">
                  <c:v>13-Dec-2022</c:v>
                </c:pt>
                <c:pt idx="997">
                  <c:v>14-Dec-2022</c:v>
                </c:pt>
                <c:pt idx="998">
                  <c:v>15-Dec-2022</c:v>
                </c:pt>
                <c:pt idx="999">
                  <c:v>16-Dec-2022</c:v>
                </c:pt>
                <c:pt idx="1000">
                  <c:v>19-Dec-2022</c:v>
                </c:pt>
                <c:pt idx="1001">
                  <c:v>20-Dec-2022</c:v>
                </c:pt>
                <c:pt idx="1002">
                  <c:v>21-Dec-2022</c:v>
                </c:pt>
                <c:pt idx="1003">
                  <c:v>22-Dec-2022</c:v>
                </c:pt>
                <c:pt idx="1004">
                  <c:v>23-Dec-2022</c:v>
                </c:pt>
                <c:pt idx="1005">
                  <c:v>28-Dec-2022</c:v>
                </c:pt>
                <c:pt idx="1006">
                  <c:v>29-Dec-2022</c:v>
                </c:pt>
                <c:pt idx="1007">
                  <c:v>30-Dec-2022</c:v>
                </c:pt>
                <c:pt idx="1008">
                  <c:v>03-Jan-2023</c:v>
                </c:pt>
                <c:pt idx="1009">
                  <c:v>04-Jan-2023</c:v>
                </c:pt>
                <c:pt idx="1010">
                  <c:v>05-Jan-2023</c:v>
                </c:pt>
                <c:pt idx="1011">
                  <c:v>06-Jan-2023</c:v>
                </c:pt>
                <c:pt idx="1012">
                  <c:v>09-Jan-2023</c:v>
                </c:pt>
                <c:pt idx="1013">
                  <c:v>10-Jan-2023</c:v>
                </c:pt>
                <c:pt idx="1014">
                  <c:v>11-Jan-2023</c:v>
                </c:pt>
                <c:pt idx="1015">
                  <c:v>12-Jan-2023</c:v>
                </c:pt>
                <c:pt idx="1016">
                  <c:v>13-Jan-2023</c:v>
                </c:pt>
                <c:pt idx="1017">
                  <c:v>16-Jan-2023</c:v>
                </c:pt>
                <c:pt idx="1018">
                  <c:v>17-Jan-2023</c:v>
                </c:pt>
                <c:pt idx="1019">
                  <c:v>18-Jan-2023</c:v>
                </c:pt>
                <c:pt idx="1020">
                  <c:v>19-Jan-2023</c:v>
                </c:pt>
                <c:pt idx="1021">
                  <c:v>20-Jan-2023</c:v>
                </c:pt>
                <c:pt idx="1022">
                  <c:v>23-Jan-2023</c:v>
                </c:pt>
                <c:pt idx="1023">
                  <c:v>24-Jan-2023</c:v>
                </c:pt>
                <c:pt idx="1024">
                  <c:v>25-Jan-2023</c:v>
                </c:pt>
                <c:pt idx="1025">
                  <c:v>27-Jan-2023</c:v>
                </c:pt>
                <c:pt idx="1026">
                  <c:v>30-Jan-2023</c:v>
                </c:pt>
                <c:pt idx="1027">
                  <c:v>31-Jan-2023</c:v>
                </c:pt>
                <c:pt idx="1028">
                  <c:v>01-Feb-2023</c:v>
                </c:pt>
                <c:pt idx="1029">
                  <c:v>02-Feb-2023</c:v>
                </c:pt>
                <c:pt idx="1030">
                  <c:v>03-Feb-2023</c:v>
                </c:pt>
                <c:pt idx="1031">
                  <c:v>06-Feb-2023</c:v>
                </c:pt>
                <c:pt idx="1032">
                  <c:v>07-Feb-2023</c:v>
                </c:pt>
                <c:pt idx="1033">
                  <c:v>08-Feb-2023</c:v>
                </c:pt>
                <c:pt idx="1034">
                  <c:v>09-Feb-2023</c:v>
                </c:pt>
                <c:pt idx="1035">
                  <c:v>10-Feb-2023</c:v>
                </c:pt>
                <c:pt idx="1036">
                  <c:v>13-Feb-2023</c:v>
                </c:pt>
                <c:pt idx="1037">
                  <c:v>14-Feb-2023</c:v>
                </c:pt>
                <c:pt idx="1038">
                  <c:v>15-Feb-2023</c:v>
                </c:pt>
                <c:pt idx="1039">
                  <c:v>16-Feb-2023</c:v>
                </c:pt>
                <c:pt idx="1040">
                  <c:v>17-Feb-2023</c:v>
                </c:pt>
                <c:pt idx="1041">
                  <c:v>20-Feb-2023</c:v>
                </c:pt>
                <c:pt idx="1042">
                  <c:v>21-Feb-2023</c:v>
                </c:pt>
                <c:pt idx="1043">
                  <c:v>22-Feb-2023</c:v>
                </c:pt>
                <c:pt idx="1044">
                  <c:v>23-Feb-2023</c:v>
                </c:pt>
                <c:pt idx="1045">
                  <c:v>24-Feb-2023</c:v>
                </c:pt>
                <c:pt idx="1046">
                  <c:v>27-Feb-2023</c:v>
                </c:pt>
                <c:pt idx="1047">
                  <c:v>28-Feb-2023</c:v>
                </c:pt>
                <c:pt idx="1048">
                  <c:v>01-Mar-2023</c:v>
                </c:pt>
                <c:pt idx="1049">
                  <c:v>02-Mar-2023</c:v>
                </c:pt>
                <c:pt idx="1050">
                  <c:v>03-Mar-2023</c:v>
                </c:pt>
                <c:pt idx="1051">
                  <c:v>06-Mar-2023</c:v>
                </c:pt>
                <c:pt idx="1052">
                  <c:v>07-Mar-2023</c:v>
                </c:pt>
                <c:pt idx="1053">
                  <c:v>08-Mar-2023</c:v>
                </c:pt>
                <c:pt idx="1054">
                  <c:v>09-Mar-2023</c:v>
                </c:pt>
                <c:pt idx="1055">
                  <c:v>10-Mar-2023</c:v>
                </c:pt>
                <c:pt idx="1056">
                  <c:v>13-Mar-2023</c:v>
                </c:pt>
                <c:pt idx="1057">
                  <c:v>14-Mar-2023</c:v>
                </c:pt>
                <c:pt idx="1058">
                  <c:v>15-Mar-2023</c:v>
                </c:pt>
                <c:pt idx="1059">
                  <c:v>16-Mar-2023</c:v>
                </c:pt>
                <c:pt idx="1060">
                  <c:v>17-Mar-2023</c:v>
                </c:pt>
                <c:pt idx="1061">
                  <c:v>20-Mar-2023</c:v>
                </c:pt>
                <c:pt idx="1062">
                  <c:v>21-Mar-2023</c:v>
                </c:pt>
                <c:pt idx="1063">
                  <c:v>22-Mar-2023</c:v>
                </c:pt>
                <c:pt idx="1064">
                  <c:v>23-Mar-2023</c:v>
                </c:pt>
                <c:pt idx="1065">
                  <c:v>24-Mar-2023</c:v>
                </c:pt>
                <c:pt idx="1066">
                  <c:v>27-Mar-2023</c:v>
                </c:pt>
                <c:pt idx="1067">
                  <c:v>28-Mar-2023</c:v>
                </c:pt>
                <c:pt idx="1068">
                  <c:v>29-Mar-2023</c:v>
                </c:pt>
                <c:pt idx="1069">
                  <c:v>30-Mar-2023</c:v>
                </c:pt>
                <c:pt idx="1070">
                  <c:v>31-Mar-2023</c:v>
                </c:pt>
                <c:pt idx="1071">
                  <c:v>03-Apr-2023</c:v>
                </c:pt>
                <c:pt idx="1072">
                  <c:v>04-Apr-2023</c:v>
                </c:pt>
                <c:pt idx="1073">
                  <c:v>05-Apr-2023</c:v>
                </c:pt>
                <c:pt idx="1074">
                  <c:v>06-Apr-2023</c:v>
                </c:pt>
                <c:pt idx="1075">
                  <c:v>11-Apr-2023</c:v>
                </c:pt>
                <c:pt idx="1076">
                  <c:v>12-Apr-2023</c:v>
                </c:pt>
                <c:pt idx="1077">
                  <c:v>13-Apr-2023</c:v>
                </c:pt>
                <c:pt idx="1078">
                  <c:v>14-Apr-2023</c:v>
                </c:pt>
                <c:pt idx="1079">
                  <c:v>17-Apr-2023</c:v>
                </c:pt>
                <c:pt idx="1080">
                  <c:v>18-Apr-2023</c:v>
                </c:pt>
                <c:pt idx="1081">
                  <c:v>19-Apr-2023</c:v>
                </c:pt>
                <c:pt idx="1082">
                  <c:v>20-Apr-2023</c:v>
                </c:pt>
                <c:pt idx="1083">
                  <c:v>21-Apr-2023</c:v>
                </c:pt>
                <c:pt idx="1084">
                  <c:v>24-Apr-2023</c:v>
                </c:pt>
                <c:pt idx="1085">
                  <c:v>26-Apr-2023</c:v>
                </c:pt>
                <c:pt idx="1086">
                  <c:v>27-Apr-2023</c:v>
                </c:pt>
                <c:pt idx="1087">
                  <c:v>28-Apr-2023</c:v>
                </c:pt>
                <c:pt idx="1088">
                  <c:v>01-May-2023</c:v>
                </c:pt>
                <c:pt idx="1089">
                  <c:v>02-May-2023</c:v>
                </c:pt>
                <c:pt idx="1090">
                  <c:v>03-May-2023</c:v>
                </c:pt>
                <c:pt idx="1091">
                  <c:v>04-May-2023</c:v>
                </c:pt>
                <c:pt idx="1092">
                  <c:v>05-May-2023</c:v>
                </c:pt>
                <c:pt idx="1093">
                  <c:v>08-May-2023</c:v>
                </c:pt>
                <c:pt idx="1094">
                  <c:v>09-May-2023</c:v>
                </c:pt>
                <c:pt idx="1095">
                  <c:v>10-May-2023</c:v>
                </c:pt>
                <c:pt idx="1096">
                  <c:v>11-May-2023</c:v>
                </c:pt>
                <c:pt idx="1097">
                  <c:v>12-May-2023</c:v>
                </c:pt>
                <c:pt idx="1098">
                  <c:v>15-May-2023</c:v>
                </c:pt>
                <c:pt idx="1099">
                  <c:v>16-May-2023</c:v>
                </c:pt>
                <c:pt idx="1100">
                  <c:v>17-May-2023</c:v>
                </c:pt>
                <c:pt idx="1101">
                  <c:v>18-May-2023</c:v>
                </c:pt>
                <c:pt idx="1102">
                  <c:v>19-May-2023</c:v>
                </c:pt>
                <c:pt idx="1103">
                  <c:v>22-May-2023</c:v>
                </c:pt>
                <c:pt idx="1104">
                  <c:v>23-May-2023</c:v>
                </c:pt>
                <c:pt idx="1105">
                  <c:v>24-May-2023</c:v>
                </c:pt>
                <c:pt idx="1106">
                  <c:v>25-May-2023</c:v>
                </c:pt>
                <c:pt idx="1107">
                  <c:v>26-May-2023</c:v>
                </c:pt>
                <c:pt idx="1108">
                  <c:v>29-May-2023</c:v>
                </c:pt>
                <c:pt idx="1109">
                  <c:v>30-May-2023</c:v>
                </c:pt>
                <c:pt idx="1110">
                  <c:v>31-May-2023</c:v>
                </c:pt>
                <c:pt idx="1111">
                  <c:v>01-Jun-2023</c:v>
                </c:pt>
                <c:pt idx="1112">
                  <c:v>02-Jun-2023</c:v>
                </c:pt>
                <c:pt idx="1113">
                  <c:v>05-Jun-2023</c:v>
                </c:pt>
                <c:pt idx="1114">
                  <c:v>06-Jun-2023</c:v>
                </c:pt>
                <c:pt idx="1115">
                  <c:v>07-Jun-2023</c:v>
                </c:pt>
                <c:pt idx="1116">
                  <c:v>08-Jun-2023</c:v>
                </c:pt>
                <c:pt idx="1117">
                  <c:v>09-Jun-2023</c:v>
                </c:pt>
                <c:pt idx="1118">
                  <c:v>13-Jun-2023</c:v>
                </c:pt>
                <c:pt idx="1119">
                  <c:v>14-Jun-2023</c:v>
                </c:pt>
                <c:pt idx="1120">
                  <c:v>15-Jun-2023</c:v>
                </c:pt>
                <c:pt idx="1121">
                  <c:v>16-Jun-2023</c:v>
                </c:pt>
                <c:pt idx="1122">
                  <c:v>19-Jun-2023</c:v>
                </c:pt>
                <c:pt idx="1123">
                  <c:v>20-Jun-2023</c:v>
                </c:pt>
                <c:pt idx="1124">
                  <c:v>21-Jun-2023</c:v>
                </c:pt>
                <c:pt idx="1125">
                  <c:v>22-Jun-2023</c:v>
                </c:pt>
                <c:pt idx="1126">
                  <c:v>23-Jun-2023</c:v>
                </c:pt>
                <c:pt idx="1127">
                  <c:v>26-Jun-2023</c:v>
                </c:pt>
                <c:pt idx="1128">
                  <c:v>27-Jun-2023</c:v>
                </c:pt>
                <c:pt idx="1129">
                  <c:v>28-Jun-2023</c:v>
                </c:pt>
                <c:pt idx="1130">
                  <c:v>29-Jun-2023</c:v>
                </c:pt>
                <c:pt idx="1131">
                  <c:v>30-Jun-2023</c:v>
                </c:pt>
                <c:pt idx="1132">
                  <c:v>03-Jul-2023</c:v>
                </c:pt>
                <c:pt idx="1133">
                  <c:v>04-Jul-2023</c:v>
                </c:pt>
                <c:pt idx="1134">
                  <c:v>05-Jul-2023</c:v>
                </c:pt>
                <c:pt idx="1135">
                  <c:v>06-Jul-2023</c:v>
                </c:pt>
                <c:pt idx="1136">
                  <c:v>07-Jul-2023</c:v>
                </c:pt>
                <c:pt idx="1137">
                  <c:v>10-Jul-2023</c:v>
                </c:pt>
                <c:pt idx="1138">
                  <c:v>11-Jul-2023</c:v>
                </c:pt>
                <c:pt idx="1139">
                  <c:v>12-Jul-2023</c:v>
                </c:pt>
                <c:pt idx="1140">
                  <c:v>13-Jul-2023</c:v>
                </c:pt>
                <c:pt idx="1141">
                  <c:v>14-Jul-2023</c:v>
                </c:pt>
                <c:pt idx="1142">
                  <c:v>17-Jul-2023</c:v>
                </c:pt>
                <c:pt idx="1143">
                  <c:v>18-Jul-2023</c:v>
                </c:pt>
                <c:pt idx="1144">
                  <c:v>19-Jul-2023</c:v>
                </c:pt>
                <c:pt idx="1145">
                  <c:v>20-Jul-2023</c:v>
                </c:pt>
                <c:pt idx="1146">
                  <c:v>21-Jul-2023</c:v>
                </c:pt>
                <c:pt idx="1147">
                  <c:v>24-Jul-2023</c:v>
                </c:pt>
                <c:pt idx="1148">
                  <c:v>25-Jul-2023</c:v>
                </c:pt>
                <c:pt idx="1149">
                  <c:v>26-Jul-2023</c:v>
                </c:pt>
                <c:pt idx="1150">
                  <c:v>27-Jul-2023</c:v>
                </c:pt>
                <c:pt idx="1151">
                  <c:v>28-Jul-2023</c:v>
                </c:pt>
                <c:pt idx="1152">
                  <c:v>31-Jul-2023</c:v>
                </c:pt>
                <c:pt idx="1153">
                  <c:v>01-Aug-2023</c:v>
                </c:pt>
                <c:pt idx="1154">
                  <c:v>02-Aug-2023</c:v>
                </c:pt>
                <c:pt idx="1155">
                  <c:v>03-Aug-2023</c:v>
                </c:pt>
                <c:pt idx="1156">
                  <c:v>04-Aug-2023</c:v>
                </c:pt>
                <c:pt idx="1157">
                  <c:v>07-Aug-2023</c:v>
                </c:pt>
                <c:pt idx="1158">
                  <c:v>08-Aug-2023</c:v>
                </c:pt>
                <c:pt idx="1159">
                  <c:v>09-Aug-2023</c:v>
                </c:pt>
                <c:pt idx="1160">
                  <c:v>10-Aug-2023</c:v>
                </c:pt>
                <c:pt idx="1161">
                  <c:v>11-Aug-2023</c:v>
                </c:pt>
                <c:pt idx="1162">
                  <c:v>14-Aug-2023</c:v>
                </c:pt>
                <c:pt idx="1163">
                  <c:v>15-Aug-2023</c:v>
                </c:pt>
                <c:pt idx="1164">
                  <c:v>16-Aug-2023</c:v>
                </c:pt>
                <c:pt idx="1165">
                  <c:v>17-Aug-2023</c:v>
                </c:pt>
                <c:pt idx="1166">
                  <c:v>18-Aug-2023</c:v>
                </c:pt>
                <c:pt idx="1167">
                  <c:v>21-Aug-2023</c:v>
                </c:pt>
                <c:pt idx="1168">
                  <c:v>22-Aug-2023</c:v>
                </c:pt>
                <c:pt idx="1169">
                  <c:v>23-Aug-2023</c:v>
                </c:pt>
                <c:pt idx="1170">
                  <c:v>24-Aug-2023</c:v>
                </c:pt>
                <c:pt idx="1171">
                  <c:v>25-Aug-2023</c:v>
                </c:pt>
                <c:pt idx="1172">
                  <c:v>28-Aug-2023</c:v>
                </c:pt>
                <c:pt idx="1173">
                  <c:v>29-Aug-2023</c:v>
                </c:pt>
                <c:pt idx="1174">
                  <c:v>30-Aug-2023</c:v>
                </c:pt>
                <c:pt idx="1175">
                  <c:v>31-Aug-2023</c:v>
                </c:pt>
                <c:pt idx="1176">
                  <c:v>01-Sep-2023</c:v>
                </c:pt>
                <c:pt idx="1177">
                  <c:v>04-Sep-2023</c:v>
                </c:pt>
                <c:pt idx="1178">
                  <c:v>05-Sep-2023</c:v>
                </c:pt>
                <c:pt idx="1179">
                  <c:v>06-Sep-2023</c:v>
                </c:pt>
                <c:pt idx="1180">
                  <c:v>07-Sep-2023</c:v>
                </c:pt>
                <c:pt idx="1181">
                  <c:v>08-Sep-2023</c:v>
                </c:pt>
                <c:pt idx="1182">
                  <c:v>11-Sep-2023</c:v>
                </c:pt>
                <c:pt idx="1183">
                  <c:v>12-Sep-2023</c:v>
                </c:pt>
                <c:pt idx="1184">
                  <c:v>13-Sep-2023</c:v>
                </c:pt>
                <c:pt idx="1185">
                  <c:v>14-Sep-2023</c:v>
                </c:pt>
                <c:pt idx="1186">
                  <c:v>15-Sep-2023</c:v>
                </c:pt>
                <c:pt idx="1187">
                  <c:v>18-Sep-2023</c:v>
                </c:pt>
                <c:pt idx="1188">
                  <c:v>19-Sep-2023</c:v>
                </c:pt>
                <c:pt idx="1189">
                  <c:v>20-Sep-2023</c:v>
                </c:pt>
                <c:pt idx="1190">
                  <c:v>21-Sep-2023</c:v>
                </c:pt>
                <c:pt idx="1191">
                  <c:v>22-Sep-2023</c:v>
                </c:pt>
                <c:pt idx="1192">
                  <c:v>25-Sep-2023</c:v>
                </c:pt>
                <c:pt idx="1193">
                  <c:v>26-Sep-2023</c:v>
                </c:pt>
                <c:pt idx="1194">
                  <c:v>27-Sep-2023</c:v>
                </c:pt>
                <c:pt idx="1195">
                  <c:v>28-Sep-2023</c:v>
                </c:pt>
                <c:pt idx="1196">
                  <c:v>29-Sep-2023</c:v>
                </c:pt>
                <c:pt idx="1197">
                  <c:v>03-Oct-2023</c:v>
                </c:pt>
                <c:pt idx="1198">
                  <c:v>04-Oct-2023</c:v>
                </c:pt>
                <c:pt idx="1199">
                  <c:v>05-Oct-2023</c:v>
                </c:pt>
                <c:pt idx="1200">
                  <c:v>06-Oct-2023</c:v>
                </c:pt>
                <c:pt idx="1201">
                  <c:v>09-Oct-2023</c:v>
                </c:pt>
                <c:pt idx="1202">
                  <c:v>10-Oct-2023</c:v>
                </c:pt>
                <c:pt idx="1203">
                  <c:v>11-Oct-2023</c:v>
                </c:pt>
                <c:pt idx="1204">
                  <c:v>12-Oct-2023</c:v>
                </c:pt>
                <c:pt idx="1205">
                  <c:v>13-Oct-2023</c:v>
                </c:pt>
                <c:pt idx="1206">
                  <c:v>16-Oct-2023</c:v>
                </c:pt>
                <c:pt idx="1207">
                  <c:v>17-Oct-2023</c:v>
                </c:pt>
                <c:pt idx="1208">
                  <c:v>18-Oct-2023</c:v>
                </c:pt>
                <c:pt idx="1209">
                  <c:v>19-Oct-2023</c:v>
                </c:pt>
                <c:pt idx="1210">
                  <c:v>20-Oct-2023</c:v>
                </c:pt>
                <c:pt idx="1211">
                  <c:v>23-Oct-2023</c:v>
                </c:pt>
                <c:pt idx="1212">
                  <c:v>24-Oct-2023</c:v>
                </c:pt>
                <c:pt idx="1213">
                  <c:v>25-Oct-2023</c:v>
                </c:pt>
                <c:pt idx="1214">
                  <c:v>26-Oct-2023</c:v>
                </c:pt>
                <c:pt idx="1215">
                  <c:v>27-Oct-2023</c:v>
                </c:pt>
                <c:pt idx="1216">
                  <c:v>30-Oct-2023</c:v>
                </c:pt>
                <c:pt idx="1217">
                  <c:v>31-Oct-2023</c:v>
                </c:pt>
                <c:pt idx="1218">
                  <c:v>01-Nov-2023</c:v>
                </c:pt>
                <c:pt idx="1219">
                  <c:v>02-Nov-2023</c:v>
                </c:pt>
                <c:pt idx="1220">
                  <c:v>03-Nov-2023</c:v>
                </c:pt>
                <c:pt idx="1221">
                  <c:v>06-Nov-2023</c:v>
                </c:pt>
                <c:pt idx="1222">
                  <c:v>07-Nov-2023</c:v>
                </c:pt>
                <c:pt idx="1223">
                  <c:v>08-Nov-2023</c:v>
                </c:pt>
                <c:pt idx="1224">
                  <c:v>09-Nov-2023</c:v>
                </c:pt>
                <c:pt idx="1225">
                  <c:v>10-Nov-2023</c:v>
                </c:pt>
                <c:pt idx="1226">
                  <c:v>13-Nov-2023</c:v>
                </c:pt>
                <c:pt idx="1227">
                  <c:v>14-Nov-2023</c:v>
                </c:pt>
                <c:pt idx="1228">
                  <c:v>15-Nov-2023</c:v>
                </c:pt>
                <c:pt idx="1229">
                  <c:v>16-Nov-2023</c:v>
                </c:pt>
                <c:pt idx="1230">
                  <c:v>17-Nov-2023</c:v>
                </c:pt>
                <c:pt idx="1231">
                  <c:v>20-Nov-2023</c:v>
                </c:pt>
                <c:pt idx="1232">
                  <c:v>21-Nov-2023</c:v>
                </c:pt>
                <c:pt idx="1233">
                  <c:v>22-Nov-2023</c:v>
                </c:pt>
                <c:pt idx="1234">
                  <c:v>23-Nov-2023</c:v>
                </c:pt>
                <c:pt idx="1235">
                  <c:v>24-Nov-2023</c:v>
                </c:pt>
                <c:pt idx="1236">
                  <c:v>27-Nov-2023</c:v>
                </c:pt>
                <c:pt idx="1237">
                  <c:v>28-Nov-2023</c:v>
                </c:pt>
                <c:pt idx="1238">
                  <c:v>29-Nov-2023</c:v>
                </c:pt>
                <c:pt idx="1239">
                  <c:v>30-Nov-2023</c:v>
                </c:pt>
                <c:pt idx="1240">
                  <c:v>01-Dec-2023</c:v>
                </c:pt>
                <c:pt idx="1241">
                  <c:v>04-Dec-2023</c:v>
                </c:pt>
                <c:pt idx="1242">
                  <c:v>05-Dec-2023</c:v>
                </c:pt>
                <c:pt idx="1243">
                  <c:v>06-Dec-2023</c:v>
                </c:pt>
                <c:pt idx="1244">
                  <c:v>07-Dec-2023</c:v>
                </c:pt>
                <c:pt idx="1245">
                  <c:v>08-Dec-2023</c:v>
                </c:pt>
                <c:pt idx="1246">
                  <c:v>11-Dec-2023</c:v>
                </c:pt>
                <c:pt idx="1247">
                  <c:v>12-Dec-2023</c:v>
                </c:pt>
                <c:pt idx="1248">
                  <c:v>13-Dec-2023</c:v>
                </c:pt>
                <c:pt idx="1249">
                  <c:v>14-Dec-2023</c:v>
                </c:pt>
                <c:pt idx="1250">
                  <c:v>15-Dec-2023</c:v>
                </c:pt>
                <c:pt idx="1251">
                  <c:v>18-Dec-2023</c:v>
                </c:pt>
                <c:pt idx="1252">
                  <c:v>19-Dec-2023</c:v>
                </c:pt>
                <c:pt idx="1253">
                  <c:v>20-Dec-2023</c:v>
                </c:pt>
                <c:pt idx="1254">
                  <c:v>21-Dec-2023</c:v>
                </c:pt>
                <c:pt idx="1255">
                  <c:v>22-Dec-2023</c:v>
                </c:pt>
                <c:pt idx="1256">
                  <c:v>27-Dec-2023</c:v>
                </c:pt>
                <c:pt idx="1257">
                  <c:v>28-Dec-2023</c:v>
                </c:pt>
                <c:pt idx="1258">
                  <c:v>29-Dec-2023</c:v>
                </c:pt>
                <c:pt idx="1259">
                  <c:v>02-Jan-2024</c:v>
                </c:pt>
                <c:pt idx="1260">
                  <c:v>03-Jan-2024</c:v>
                </c:pt>
                <c:pt idx="1261">
                  <c:v>04-Jan-2024</c:v>
                </c:pt>
                <c:pt idx="1262">
                  <c:v>05-Jan-2024</c:v>
                </c:pt>
                <c:pt idx="1263">
                  <c:v>08-Jan-2024</c:v>
                </c:pt>
                <c:pt idx="1264">
                  <c:v>09-Jan-2024</c:v>
                </c:pt>
                <c:pt idx="1265">
                  <c:v>10-Jan-2024</c:v>
                </c:pt>
                <c:pt idx="1266">
                  <c:v>11-Jan-2024</c:v>
                </c:pt>
                <c:pt idx="1267">
                  <c:v>12-Jan-2024</c:v>
                </c:pt>
                <c:pt idx="1268">
                  <c:v>15-Jan-2024</c:v>
                </c:pt>
                <c:pt idx="1269">
                  <c:v>16-Jan-2024</c:v>
                </c:pt>
                <c:pt idx="1270">
                  <c:v>17-Jan-2024</c:v>
                </c:pt>
                <c:pt idx="1271">
                  <c:v>18-Jan-2024</c:v>
                </c:pt>
                <c:pt idx="1272">
                  <c:v>19-Jan-2024</c:v>
                </c:pt>
                <c:pt idx="1273">
                  <c:v>22-Jan-2024</c:v>
                </c:pt>
                <c:pt idx="1274">
                  <c:v>23-Jan-2024</c:v>
                </c:pt>
                <c:pt idx="1275">
                  <c:v>24-Jan-2024</c:v>
                </c:pt>
                <c:pt idx="1276">
                  <c:v>25-Jan-2024</c:v>
                </c:pt>
                <c:pt idx="1277">
                  <c:v>29-Jan-2024</c:v>
                </c:pt>
                <c:pt idx="1278">
                  <c:v>30-Jan-2024</c:v>
                </c:pt>
                <c:pt idx="1279">
                  <c:v>31-Jan-2024</c:v>
                </c:pt>
                <c:pt idx="1280">
                  <c:v>01-Feb-2024</c:v>
                </c:pt>
                <c:pt idx="1281">
                  <c:v>02-Feb-2024</c:v>
                </c:pt>
                <c:pt idx="1282">
                  <c:v>05-Feb-2024</c:v>
                </c:pt>
                <c:pt idx="1283">
                  <c:v>06-Feb-2024</c:v>
                </c:pt>
                <c:pt idx="1284">
                  <c:v>07-Feb-2024</c:v>
                </c:pt>
                <c:pt idx="1285">
                  <c:v>08-Feb-2024</c:v>
                </c:pt>
                <c:pt idx="1286">
                  <c:v>09-Feb-2024</c:v>
                </c:pt>
                <c:pt idx="1287">
                  <c:v>12-Feb-2024</c:v>
                </c:pt>
                <c:pt idx="1288">
                  <c:v>13-Feb-2024</c:v>
                </c:pt>
                <c:pt idx="1289">
                  <c:v>14-Feb-2024</c:v>
                </c:pt>
                <c:pt idx="1290">
                  <c:v>15-Feb-2024</c:v>
                </c:pt>
                <c:pt idx="1291">
                  <c:v>16-Feb-2024</c:v>
                </c:pt>
                <c:pt idx="1292">
                  <c:v>19-Feb-2024</c:v>
                </c:pt>
                <c:pt idx="1293">
                  <c:v>20-Feb-2024</c:v>
                </c:pt>
                <c:pt idx="1294">
                  <c:v>21-Feb-2024</c:v>
                </c:pt>
                <c:pt idx="1295">
                  <c:v>22-Feb-2024</c:v>
                </c:pt>
                <c:pt idx="1296">
                  <c:v>23-Feb-2024</c:v>
                </c:pt>
                <c:pt idx="1297">
                  <c:v>26-Feb-2024</c:v>
                </c:pt>
                <c:pt idx="1298">
                  <c:v>27-Feb-2024</c:v>
                </c:pt>
                <c:pt idx="1299">
                  <c:v>28-Feb-2024</c:v>
                </c:pt>
                <c:pt idx="1300">
                  <c:v>29-Feb-2024</c:v>
                </c:pt>
                <c:pt idx="1301">
                  <c:v>01-Mar-2024</c:v>
                </c:pt>
                <c:pt idx="1302">
                  <c:v>04-Mar-2024</c:v>
                </c:pt>
                <c:pt idx="1303">
                  <c:v>05-Mar-2024</c:v>
                </c:pt>
                <c:pt idx="1304">
                  <c:v>06-Mar-2024</c:v>
                </c:pt>
                <c:pt idx="1305">
                  <c:v>07-Mar-2024</c:v>
                </c:pt>
                <c:pt idx="1306">
                  <c:v>08-Mar-2024</c:v>
                </c:pt>
                <c:pt idx="1307">
                  <c:v>11-Mar-2024</c:v>
                </c:pt>
                <c:pt idx="1308">
                  <c:v>12-Mar-2024</c:v>
                </c:pt>
                <c:pt idx="1309">
                  <c:v>13-Mar-2024</c:v>
                </c:pt>
                <c:pt idx="1310">
                  <c:v>14-Mar-2024</c:v>
                </c:pt>
                <c:pt idx="1311">
                  <c:v>15-Mar-2024</c:v>
                </c:pt>
                <c:pt idx="1312">
                  <c:v>18-Mar-2024</c:v>
                </c:pt>
                <c:pt idx="1313">
                  <c:v>19-Mar-2024</c:v>
                </c:pt>
                <c:pt idx="1314">
                  <c:v>20-Mar-2024</c:v>
                </c:pt>
                <c:pt idx="1315">
                  <c:v>21-Mar-2024</c:v>
                </c:pt>
                <c:pt idx="1316">
                  <c:v>22-Mar-2024</c:v>
                </c:pt>
                <c:pt idx="1317">
                  <c:v>25-Mar-2024</c:v>
                </c:pt>
                <c:pt idx="1318">
                  <c:v>26-Mar-2024</c:v>
                </c:pt>
                <c:pt idx="1319">
                  <c:v>27-Mar-2024</c:v>
                </c:pt>
                <c:pt idx="1320">
                  <c:v>28-Mar-2024</c:v>
                </c:pt>
                <c:pt idx="1321">
                  <c:v>02-Apr-2024</c:v>
                </c:pt>
                <c:pt idx="1322">
                  <c:v>03-Apr-2024</c:v>
                </c:pt>
                <c:pt idx="1323">
                  <c:v>04-Apr-2024</c:v>
                </c:pt>
                <c:pt idx="1324">
                  <c:v>05-Apr-2024</c:v>
                </c:pt>
                <c:pt idx="1325">
                  <c:v>08-Apr-2024</c:v>
                </c:pt>
                <c:pt idx="1326">
                  <c:v>09-Apr-2024</c:v>
                </c:pt>
                <c:pt idx="1327">
                  <c:v>10-Apr-2024</c:v>
                </c:pt>
                <c:pt idx="1328">
                  <c:v>11-Apr-2024</c:v>
                </c:pt>
                <c:pt idx="1329">
                  <c:v>12-Apr-2024</c:v>
                </c:pt>
                <c:pt idx="1330">
                  <c:v>15-Apr-2024</c:v>
                </c:pt>
                <c:pt idx="1331">
                  <c:v>16-Apr-2024</c:v>
                </c:pt>
                <c:pt idx="1332">
                  <c:v>17-Apr-2024</c:v>
                </c:pt>
                <c:pt idx="1333">
                  <c:v>18-Apr-2024</c:v>
                </c:pt>
                <c:pt idx="1334">
                  <c:v>19-Apr-2024</c:v>
                </c:pt>
                <c:pt idx="1335">
                  <c:v>22-Apr-2024</c:v>
                </c:pt>
                <c:pt idx="1336">
                  <c:v>23-Apr-2024</c:v>
                </c:pt>
                <c:pt idx="1337">
                  <c:v>24-Apr-2024</c:v>
                </c:pt>
                <c:pt idx="1338">
                  <c:v>26-Apr-2024</c:v>
                </c:pt>
                <c:pt idx="1339">
                  <c:v>29-Apr-2024</c:v>
                </c:pt>
                <c:pt idx="1340">
                  <c:v>30-Apr-2024</c:v>
                </c:pt>
                <c:pt idx="1341">
                  <c:v>01-May-2024</c:v>
                </c:pt>
                <c:pt idx="1342">
                  <c:v>02-May-2024</c:v>
                </c:pt>
                <c:pt idx="1343">
                  <c:v>03-May-2024</c:v>
                </c:pt>
                <c:pt idx="1344">
                  <c:v>06-May-2024</c:v>
                </c:pt>
                <c:pt idx="1345">
                  <c:v>07-May-2024</c:v>
                </c:pt>
                <c:pt idx="1346">
                  <c:v>08-May-2024</c:v>
                </c:pt>
                <c:pt idx="1347">
                  <c:v>09-May-2024</c:v>
                </c:pt>
                <c:pt idx="1348">
                  <c:v>10-May-2024</c:v>
                </c:pt>
                <c:pt idx="1349">
                  <c:v>13-May-2024</c:v>
                </c:pt>
                <c:pt idx="1350">
                  <c:v>14-May-2024</c:v>
                </c:pt>
                <c:pt idx="1351">
                  <c:v>15-May-2024</c:v>
                </c:pt>
                <c:pt idx="1352">
                  <c:v>16-May-2024</c:v>
                </c:pt>
                <c:pt idx="1353">
                  <c:v>17-May-2024</c:v>
                </c:pt>
                <c:pt idx="1354">
                  <c:v>20-May-2024</c:v>
                </c:pt>
                <c:pt idx="1355">
                  <c:v>21-May-2024</c:v>
                </c:pt>
                <c:pt idx="1356">
                  <c:v>22-May-2024</c:v>
                </c:pt>
                <c:pt idx="1357">
                  <c:v>23-May-2024</c:v>
                </c:pt>
                <c:pt idx="1358">
                  <c:v>24-May-2024</c:v>
                </c:pt>
                <c:pt idx="1359">
                  <c:v>27-May-2024</c:v>
                </c:pt>
                <c:pt idx="1360">
                  <c:v>28-May-2024</c:v>
                </c:pt>
                <c:pt idx="1361">
                  <c:v>29-May-2024</c:v>
                </c:pt>
                <c:pt idx="1362">
                  <c:v>30-May-2024</c:v>
                </c:pt>
                <c:pt idx="1363">
                  <c:v>31-May-2024</c:v>
                </c:pt>
                <c:pt idx="1364">
                  <c:v>03-Jun-2024</c:v>
                </c:pt>
                <c:pt idx="1365">
                  <c:v>04-Jun-2024</c:v>
                </c:pt>
                <c:pt idx="1366">
                  <c:v>05-Jun-2024</c:v>
                </c:pt>
                <c:pt idx="1367">
                  <c:v>06-Jun-2024</c:v>
                </c:pt>
                <c:pt idx="1368">
                  <c:v>07-Jun-2024</c:v>
                </c:pt>
                <c:pt idx="1369">
                  <c:v>11-Jun-2024</c:v>
                </c:pt>
                <c:pt idx="1370">
                  <c:v>12-Jun-2024</c:v>
                </c:pt>
                <c:pt idx="1371">
                  <c:v>13-Jun-2024</c:v>
                </c:pt>
                <c:pt idx="1372">
                  <c:v>14-Jun-2024</c:v>
                </c:pt>
                <c:pt idx="1373">
                  <c:v>17-Jun-2024</c:v>
                </c:pt>
                <c:pt idx="1374">
                  <c:v>18-Jun-2024</c:v>
                </c:pt>
                <c:pt idx="1375">
                  <c:v>19-Jun-2024</c:v>
                </c:pt>
                <c:pt idx="1376">
                  <c:v>20-Jun-2024</c:v>
                </c:pt>
                <c:pt idx="1377">
                  <c:v>21-Jun-2024</c:v>
                </c:pt>
                <c:pt idx="1378">
                  <c:v>24-Jun-2024</c:v>
                </c:pt>
                <c:pt idx="1379">
                  <c:v>25-Jun-2024</c:v>
                </c:pt>
                <c:pt idx="1380">
                  <c:v>26-Jun-2024</c:v>
                </c:pt>
                <c:pt idx="1381">
                  <c:v>27-Jun-2024</c:v>
                </c:pt>
                <c:pt idx="1382">
                  <c:v>28-Jun-2024</c:v>
                </c:pt>
                <c:pt idx="1383">
                  <c:v>01-Jul-2024</c:v>
                </c:pt>
                <c:pt idx="1384">
                  <c:v>02-Jul-2024</c:v>
                </c:pt>
                <c:pt idx="1385">
                  <c:v>03-Jul-2024</c:v>
                </c:pt>
                <c:pt idx="1386">
                  <c:v>04-Jul-2024</c:v>
                </c:pt>
                <c:pt idx="1387">
                  <c:v>05-Jul-2024</c:v>
                </c:pt>
                <c:pt idx="1388">
                  <c:v>08-Jul-2024</c:v>
                </c:pt>
                <c:pt idx="1389">
                  <c:v>09-Jul-2024</c:v>
                </c:pt>
                <c:pt idx="1390">
                  <c:v>10-Jul-2024</c:v>
                </c:pt>
                <c:pt idx="1391">
                  <c:v>11-Jul-2024</c:v>
                </c:pt>
                <c:pt idx="1392">
                  <c:v>12-Jul-2024</c:v>
                </c:pt>
                <c:pt idx="1393">
                  <c:v>15-Jul-2024</c:v>
                </c:pt>
                <c:pt idx="1394">
                  <c:v>16-Jul-2024</c:v>
                </c:pt>
                <c:pt idx="1395">
                  <c:v>17-Jul-2024</c:v>
                </c:pt>
                <c:pt idx="1396">
                  <c:v>18-Jul-2024</c:v>
                </c:pt>
                <c:pt idx="1397">
                  <c:v>19-Jul-2024</c:v>
                </c:pt>
                <c:pt idx="1398">
                  <c:v>22-Jul-2024</c:v>
                </c:pt>
                <c:pt idx="1399">
                  <c:v>23-Jul-2024</c:v>
                </c:pt>
                <c:pt idx="1400">
                  <c:v>24-Jul-2024</c:v>
                </c:pt>
                <c:pt idx="1401">
                  <c:v>25-Jul-2024</c:v>
                </c:pt>
                <c:pt idx="1402">
                  <c:v>26-Jul-2024</c:v>
                </c:pt>
                <c:pt idx="1403">
                  <c:v>29-Jul-2024</c:v>
                </c:pt>
                <c:pt idx="1404">
                  <c:v>30-Jul-2024</c:v>
                </c:pt>
                <c:pt idx="1405">
                  <c:v>31-Jul-2024</c:v>
                </c:pt>
                <c:pt idx="1406">
                  <c:v>01-Aug-2024</c:v>
                </c:pt>
                <c:pt idx="1407">
                  <c:v>02-Aug-2024</c:v>
                </c:pt>
                <c:pt idx="1408">
                  <c:v>05-Aug-2024</c:v>
                </c:pt>
                <c:pt idx="1409">
                  <c:v>06-Aug-2024</c:v>
                </c:pt>
                <c:pt idx="1410">
                  <c:v>07-Aug-2024</c:v>
                </c:pt>
                <c:pt idx="1411">
                  <c:v>08-Aug-2024</c:v>
                </c:pt>
                <c:pt idx="1412">
                  <c:v>09-Aug-2024</c:v>
                </c:pt>
                <c:pt idx="1413">
                  <c:v>12-Aug-2024</c:v>
                </c:pt>
                <c:pt idx="1414">
                  <c:v>13-Aug-2024</c:v>
                </c:pt>
                <c:pt idx="1415">
                  <c:v>14-Aug-2024</c:v>
                </c:pt>
                <c:pt idx="1416">
                  <c:v>15-Aug-2024</c:v>
                </c:pt>
                <c:pt idx="1417">
                  <c:v>16-Aug-2024</c:v>
                </c:pt>
                <c:pt idx="1418">
                  <c:v>19-Aug-2024</c:v>
                </c:pt>
                <c:pt idx="1419">
                  <c:v>20-Aug-2024</c:v>
                </c:pt>
                <c:pt idx="1420">
                  <c:v>21-Aug-2024</c:v>
                </c:pt>
                <c:pt idx="1421">
                  <c:v>22-Aug-2024</c:v>
                </c:pt>
                <c:pt idx="1422">
                  <c:v>23-Aug-2024</c:v>
                </c:pt>
                <c:pt idx="1423">
                  <c:v>26-Aug-2024</c:v>
                </c:pt>
                <c:pt idx="1424">
                  <c:v>27-Aug-2024</c:v>
                </c:pt>
                <c:pt idx="1425">
                  <c:v>28-Aug-2024</c:v>
                </c:pt>
                <c:pt idx="1426">
                  <c:v>29-Aug-2024</c:v>
                </c:pt>
                <c:pt idx="1427">
                  <c:v>30-Aug-2024</c:v>
                </c:pt>
                <c:pt idx="1428">
                  <c:v>02-Sep-2024</c:v>
                </c:pt>
                <c:pt idx="1429">
                  <c:v>03-Sep-2024</c:v>
                </c:pt>
                <c:pt idx="1430">
                  <c:v>04-Sep-2024</c:v>
                </c:pt>
                <c:pt idx="1431">
                  <c:v>05-Sep-2024</c:v>
                </c:pt>
                <c:pt idx="1432">
                  <c:v>06-Sep-2024</c:v>
                </c:pt>
                <c:pt idx="1433">
                  <c:v>09-Sep-2024</c:v>
                </c:pt>
                <c:pt idx="1434">
                  <c:v>10-Sep-2024</c:v>
                </c:pt>
                <c:pt idx="1435">
                  <c:v>11-Sep-2024</c:v>
                </c:pt>
                <c:pt idx="1436">
                  <c:v>12-Sep-2024</c:v>
                </c:pt>
                <c:pt idx="1437">
                  <c:v>13-Sep-2024</c:v>
                </c:pt>
                <c:pt idx="1438">
                  <c:v>16-Sep-2024</c:v>
                </c:pt>
                <c:pt idx="1439">
                  <c:v>17-Sep-2024</c:v>
                </c:pt>
                <c:pt idx="1440">
                  <c:v>18-Sep-2024</c:v>
                </c:pt>
                <c:pt idx="1441">
                  <c:v>19-Sep-2024</c:v>
                </c:pt>
                <c:pt idx="1442">
                  <c:v>20-Sep-2024</c:v>
                </c:pt>
                <c:pt idx="1443">
                  <c:v>23-Sep-2024</c:v>
                </c:pt>
                <c:pt idx="1444">
                  <c:v>24-Sep-2024</c:v>
                </c:pt>
                <c:pt idx="1445">
                  <c:v>25-Sep-2024</c:v>
                </c:pt>
                <c:pt idx="1446">
                  <c:v>26-Sep-2024</c:v>
                </c:pt>
                <c:pt idx="1447">
                  <c:v>27-Sep-2024</c:v>
                </c:pt>
                <c:pt idx="1448">
                  <c:v>30-Sep-2024</c:v>
                </c:pt>
                <c:pt idx="1449">
                  <c:v>01-Oct-2024</c:v>
                </c:pt>
                <c:pt idx="1450">
                  <c:v>02-Oct-2024</c:v>
                </c:pt>
                <c:pt idx="1451">
                  <c:v>03-Oct-2024</c:v>
                </c:pt>
                <c:pt idx="1452">
                  <c:v>04-Oct-2024</c:v>
                </c:pt>
                <c:pt idx="1453">
                  <c:v>08-Oct-2024</c:v>
                </c:pt>
                <c:pt idx="1454">
                  <c:v>09-Oct-2024</c:v>
                </c:pt>
                <c:pt idx="1455">
                  <c:v>10-Oct-2024</c:v>
                </c:pt>
                <c:pt idx="1456">
                  <c:v>11-Oct-2024</c:v>
                </c:pt>
                <c:pt idx="1457">
                  <c:v>14-Oct-2024</c:v>
                </c:pt>
                <c:pt idx="1458">
                  <c:v>15-Oct-2024</c:v>
                </c:pt>
                <c:pt idx="1459">
                  <c:v>16-Oct-2024</c:v>
                </c:pt>
                <c:pt idx="1460">
                  <c:v>17-Oct-2024</c:v>
                </c:pt>
                <c:pt idx="1461">
                  <c:v>18-Oct-2024</c:v>
                </c:pt>
                <c:pt idx="1462">
                  <c:v>21-Oct-2024</c:v>
                </c:pt>
                <c:pt idx="1463">
                  <c:v>22-Oct-2024</c:v>
                </c:pt>
                <c:pt idx="1464">
                  <c:v>23-Oct-2024</c:v>
                </c:pt>
                <c:pt idx="1465">
                  <c:v>24-Oct-2024</c:v>
                </c:pt>
                <c:pt idx="1466">
                  <c:v>25-Oct-2024</c:v>
                </c:pt>
                <c:pt idx="1467">
                  <c:v>28-Oct-2024</c:v>
                </c:pt>
                <c:pt idx="1468">
                  <c:v>29-Oct-2024</c:v>
                </c:pt>
                <c:pt idx="1469">
                  <c:v>30-Oct-2024</c:v>
                </c:pt>
                <c:pt idx="1470">
                  <c:v>31-Oct-2024</c:v>
                </c:pt>
                <c:pt idx="1471">
                  <c:v>01-Nov-2024</c:v>
                </c:pt>
                <c:pt idx="1472">
                  <c:v>04-Nov-2024</c:v>
                </c:pt>
                <c:pt idx="1473">
                  <c:v>05-Nov-2024</c:v>
                </c:pt>
                <c:pt idx="1474">
                  <c:v>06-Nov-2024</c:v>
                </c:pt>
                <c:pt idx="1475">
                  <c:v>07-Nov-2024</c:v>
                </c:pt>
                <c:pt idx="1476">
                  <c:v>08-Nov-2024</c:v>
                </c:pt>
                <c:pt idx="1477">
                  <c:v>11-Nov-2024</c:v>
                </c:pt>
                <c:pt idx="1478">
                  <c:v>12-Nov-2024</c:v>
                </c:pt>
                <c:pt idx="1479">
                  <c:v>13-Nov-2024</c:v>
                </c:pt>
                <c:pt idx="1480">
                  <c:v>14-Nov-2024</c:v>
                </c:pt>
                <c:pt idx="1481">
                  <c:v>15-Nov-2024</c:v>
                </c:pt>
                <c:pt idx="1482">
                  <c:v>18-Nov-2024</c:v>
                </c:pt>
                <c:pt idx="1483">
                  <c:v>19-Nov-2024</c:v>
                </c:pt>
                <c:pt idx="1484">
                  <c:v>20-Nov-2024</c:v>
                </c:pt>
                <c:pt idx="1485">
                  <c:v>21-Nov-2024</c:v>
                </c:pt>
                <c:pt idx="1486">
                  <c:v>22-Nov-2024</c:v>
                </c:pt>
                <c:pt idx="1487">
                  <c:v>25-Nov-2024</c:v>
                </c:pt>
                <c:pt idx="1488">
                  <c:v>26-Nov-2024</c:v>
                </c:pt>
                <c:pt idx="1489">
                  <c:v>27-Nov-2024</c:v>
                </c:pt>
                <c:pt idx="1490">
                  <c:v>28-Nov-2024</c:v>
                </c:pt>
                <c:pt idx="1491">
                  <c:v>29-Nov-2024</c:v>
                </c:pt>
                <c:pt idx="1492">
                  <c:v>02-Dec-2024</c:v>
                </c:pt>
                <c:pt idx="1493">
                  <c:v>03-Dec-2024</c:v>
                </c:pt>
                <c:pt idx="1494">
                  <c:v>04-Dec-2024</c:v>
                </c:pt>
                <c:pt idx="1495">
                  <c:v>05-Dec-2024</c:v>
                </c:pt>
                <c:pt idx="1496">
                  <c:v>06-Dec-2024</c:v>
                </c:pt>
                <c:pt idx="1497">
                  <c:v>09-Dec-2024</c:v>
                </c:pt>
                <c:pt idx="1498">
                  <c:v>10-Dec-2024</c:v>
                </c:pt>
                <c:pt idx="1499">
                  <c:v>11-Dec-2024</c:v>
                </c:pt>
                <c:pt idx="1500">
                  <c:v>12-Dec-2024</c:v>
                </c:pt>
                <c:pt idx="1501">
                  <c:v>13-Dec-2024</c:v>
                </c:pt>
                <c:pt idx="1502">
                  <c:v>16-Dec-2024</c:v>
                </c:pt>
                <c:pt idx="1503">
                  <c:v>17-Dec-2024</c:v>
                </c:pt>
                <c:pt idx="1504">
                  <c:v>18-Dec-2024</c:v>
                </c:pt>
                <c:pt idx="1505">
                  <c:v>19-Dec-2024</c:v>
                </c:pt>
                <c:pt idx="1506">
                  <c:v>20-Dec-2024</c:v>
                </c:pt>
                <c:pt idx="1507">
                  <c:v>23-Dec-2024</c:v>
                </c:pt>
                <c:pt idx="1508">
                  <c:v>24-Dec-2024</c:v>
                </c:pt>
                <c:pt idx="1509">
                  <c:v>27-Dec-2024</c:v>
                </c:pt>
                <c:pt idx="1510">
                  <c:v>30-Dec-2024</c:v>
                </c:pt>
                <c:pt idx="1511">
                  <c:v>31-Dec-2024</c:v>
                </c:pt>
                <c:pt idx="1512">
                  <c:v>02-Jan-2025</c:v>
                </c:pt>
                <c:pt idx="1513">
                  <c:v>03-Jan-2025</c:v>
                </c:pt>
                <c:pt idx="1514">
                  <c:v>06-Jan-2025</c:v>
                </c:pt>
                <c:pt idx="1515">
                  <c:v>07-Jan-2025</c:v>
                </c:pt>
                <c:pt idx="1516">
                  <c:v>08-Jan-2025</c:v>
                </c:pt>
                <c:pt idx="1517">
                  <c:v>09-Jan-2025</c:v>
                </c:pt>
                <c:pt idx="1518">
                  <c:v>10-Jan-2025</c:v>
                </c:pt>
                <c:pt idx="1519">
                  <c:v>13-Jan-2025</c:v>
                </c:pt>
                <c:pt idx="1520">
                  <c:v>14-Jan-2025</c:v>
                </c:pt>
                <c:pt idx="1521">
                  <c:v>15-Jan-2025</c:v>
                </c:pt>
                <c:pt idx="1522">
                  <c:v>16-Jan-2025</c:v>
                </c:pt>
                <c:pt idx="1523">
                  <c:v>17-Jan-2025</c:v>
                </c:pt>
                <c:pt idx="1524">
                  <c:v>20-Jan-2025</c:v>
                </c:pt>
                <c:pt idx="1525">
                  <c:v>21-Jan-2025</c:v>
                </c:pt>
                <c:pt idx="1526">
                  <c:v>22-Jan-2025</c:v>
                </c:pt>
                <c:pt idx="1527">
                  <c:v>23-Jan-2025</c:v>
                </c:pt>
                <c:pt idx="1528">
                  <c:v>24-Jan-2025</c:v>
                </c:pt>
                <c:pt idx="1529">
                  <c:v>28-Jan-2025</c:v>
                </c:pt>
                <c:pt idx="1530">
                  <c:v>29-Jan-2025</c:v>
                </c:pt>
                <c:pt idx="1531">
                  <c:v>30-Jan-2025</c:v>
                </c:pt>
                <c:pt idx="1532">
                  <c:v>31-Jan-2025</c:v>
                </c:pt>
                <c:pt idx="1533">
                  <c:v>03-Feb-2025</c:v>
                </c:pt>
                <c:pt idx="1534">
                  <c:v>04-Feb-2025</c:v>
                </c:pt>
                <c:pt idx="1535">
                  <c:v>05-Feb-2025</c:v>
                </c:pt>
                <c:pt idx="1536">
                  <c:v>06-Feb-2025</c:v>
                </c:pt>
                <c:pt idx="1537">
                  <c:v>07-Feb-2025</c:v>
                </c:pt>
                <c:pt idx="1538">
                  <c:v>10-Feb-2025</c:v>
                </c:pt>
                <c:pt idx="1539">
                  <c:v>11-Feb-2025</c:v>
                </c:pt>
                <c:pt idx="1540">
                  <c:v>12-Feb-2025</c:v>
                </c:pt>
                <c:pt idx="1541">
                  <c:v>13-Feb-2025</c:v>
                </c:pt>
                <c:pt idx="1542">
                  <c:v>14-Feb-2025</c:v>
                </c:pt>
                <c:pt idx="1543">
                  <c:v>17-Feb-2025</c:v>
                </c:pt>
                <c:pt idx="1544">
                  <c:v>18-Feb-2025</c:v>
                </c:pt>
                <c:pt idx="1545">
                  <c:v>19-Feb-2025</c:v>
                </c:pt>
                <c:pt idx="1546">
                  <c:v>20-Feb-2025</c:v>
                </c:pt>
                <c:pt idx="1547">
                  <c:v>21-Feb-2025</c:v>
                </c:pt>
                <c:pt idx="1548">
                  <c:v>24-Feb-2025</c:v>
                </c:pt>
                <c:pt idx="1549">
                  <c:v>25-Feb-2025</c:v>
                </c:pt>
                <c:pt idx="1550">
                  <c:v>26-Feb-2025</c:v>
                </c:pt>
                <c:pt idx="1551">
                  <c:v>27-Feb-2025</c:v>
                </c:pt>
                <c:pt idx="1552">
                  <c:v>28-Feb-2025</c:v>
                </c:pt>
                <c:pt idx="1553">
                  <c:v>03-Mar-2025</c:v>
                </c:pt>
                <c:pt idx="1554">
                  <c:v>04-Mar-2025</c:v>
                </c:pt>
                <c:pt idx="1555">
                  <c:v>05-Mar-2025</c:v>
                </c:pt>
                <c:pt idx="1556">
                  <c:v>06-Mar-2025</c:v>
                </c:pt>
                <c:pt idx="1557">
                  <c:v>07-Mar-2025</c:v>
                </c:pt>
                <c:pt idx="1558">
                  <c:v>10-Mar-2025</c:v>
                </c:pt>
                <c:pt idx="1559">
                  <c:v>11-Mar-2025</c:v>
                </c:pt>
                <c:pt idx="1560">
                  <c:v>12-Mar-2025</c:v>
                </c:pt>
                <c:pt idx="1561">
                  <c:v>13-Mar-2025</c:v>
                </c:pt>
                <c:pt idx="1562">
                  <c:v>14-Mar-2025</c:v>
                </c:pt>
                <c:pt idx="1563">
                  <c:v>17-Mar-2025</c:v>
                </c:pt>
                <c:pt idx="1564">
                  <c:v>18-Mar-2025</c:v>
                </c:pt>
                <c:pt idx="1565">
                  <c:v>19-Mar-2025</c:v>
                </c:pt>
                <c:pt idx="1566">
                  <c:v>20-Mar-2025</c:v>
                </c:pt>
                <c:pt idx="1567">
                  <c:v>21-Mar-2025</c:v>
                </c:pt>
                <c:pt idx="1568">
                  <c:v>24-Mar-2025</c:v>
                </c:pt>
                <c:pt idx="1569">
                  <c:v>25-Mar-2025</c:v>
                </c:pt>
                <c:pt idx="1570">
                  <c:v>26-Mar-2025</c:v>
                </c:pt>
                <c:pt idx="1571">
                  <c:v>27-Mar-2025</c:v>
                </c:pt>
                <c:pt idx="1572">
                  <c:v>28-Mar-2025</c:v>
                </c:pt>
                <c:pt idx="1573">
                  <c:v>31-Mar-2025</c:v>
                </c:pt>
                <c:pt idx="1574">
                  <c:v>01-Apr-2025</c:v>
                </c:pt>
                <c:pt idx="1575">
                  <c:v>02-Apr-2025</c:v>
                </c:pt>
                <c:pt idx="1576">
                  <c:v>03-Apr-2025</c:v>
                </c:pt>
                <c:pt idx="1577">
                  <c:v>04-Apr-2025</c:v>
                </c:pt>
                <c:pt idx="1578">
                  <c:v>07-Apr-2025</c:v>
                </c:pt>
                <c:pt idx="1579">
                  <c:v>08-Apr-2025</c:v>
                </c:pt>
                <c:pt idx="1580">
                  <c:v>09-Apr-2025</c:v>
                </c:pt>
              </c:strCache>
            </c:strRef>
          </c:cat>
          <c:val>
            <c:numRef>
              <c:f>'Risk Free Rate'!$E$10:$E$1590</c:f>
              <c:numCache>
                <c:formatCode>#0.000</c:formatCode>
                <c:ptCount val="1581"/>
                <c:pt idx="0">
                  <c:v>2.2869999999999999</c:v>
                </c:pt>
                <c:pt idx="1">
                  <c:v>2.173</c:v>
                </c:pt>
                <c:pt idx="2">
                  <c:v>2.234</c:v>
                </c:pt>
                <c:pt idx="3">
                  <c:v>2.2690000000000001</c:v>
                </c:pt>
                <c:pt idx="4">
                  <c:v>2.3010000000000002</c:v>
                </c:pt>
                <c:pt idx="5">
                  <c:v>2.3250000000000002</c:v>
                </c:pt>
                <c:pt idx="6">
                  <c:v>2.3149999999999999</c:v>
                </c:pt>
                <c:pt idx="7">
                  <c:v>2.306</c:v>
                </c:pt>
                <c:pt idx="8">
                  <c:v>2.27</c:v>
                </c:pt>
                <c:pt idx="9">
                  <c:v>2.2850000000000001</c:v>
                </c:pt>
                <c:pt idx="10">
                  <c:v>2.2709999999999999</c:v>
                </c:pt>
                <c:pt idx="11">
                  <c:v>2.2770000000000001</c:v>
                </c:pt>
                <c:pt idx="12">
                  <c:v>2.3109999999999999</c:v>
                </c:pt>
                <c:pt idx="13">
                  <c:v>2.3079999999999998</c:v>
                </c:pt>
                <c:pt idx="14">
                  <c:v>2.298</c:v>
                </c:pt>
                <c:pt idx="15">
                  <c:v>2.278</c:v>
                </c:pt>
                <c:pt idx="16">
                  <c:v>2.2679999999999998</c:v>
                </c:pt>
                <c:pt idx="17">
                  <c:v>2.2080000000000002</c:v>
                </c:pt>
                <c:pt idx="18">
                  <c:v>2.2280000000000002</c:v>
                </c:pt>
                <c:pt idx="19">
                  <c:v>2.2389999999999999</c:v>
                </c:pt>
                <c:pt idx="20">
                  <c:v>2.238</c:v>
                </c:pt>
                <c:pt idx="21">
                  <c:v>2.2029999999999998</c:v>
                </c:pt>
                <c:pt idx="22">
                  <c:v>2.2280000000000002</c:v>
                </c:pt>
                <c:pt idx="23">
                  <c:v>2.2429999999999999</c:v>
                </c:pt>
                <c:pt idx="24">
                  <c:v>2.1800000000000002</c:v>
                </c:pt>
                <c:pt idx="25">
                  <c:v>2.145</c:v>
                </c:pt>
                <c:pt idx="26">
                  <c:v>2.101</c:v>
                </c:pt>
                <c:pt idx="27">
                  <c:v>2.06</c:v>
                </c:pt>
                <c:pt idx="28">
                  <c:v>2.1139999999999999</c:v>
                </c:pt>
                <c:pt idx="29">
                  <c:v>2.149</c:v>
                </c:pt>
                <c:pt idx="30">
                  <c:v>2.1440000000000001</c:v>
                </c:pt>
                <c:pt idx="31">
                  <c:v>2.0990000000000002</c:v>
                </c:pt>
                <c:pt idx="32">
                  <c:v>2.1389999999999998</c:v>
                </c:pt>
                <c:pt idx="33">
                  <c:v>2.133</c:v>
                </c:pt>
                <c:pt idx="34">
                  <c:v>2.0990000000000002</c:v>
                </c:pt>
                <c:pt idx="35">
                  <c:v>2.0539999999999998</c:v>
                </c:pt>
                <c:pt idx="36">
                  <c:v>2.0939999999999999</c:v>
                </c:pt>
                <c:pt idx="37">
                  <c:v>2.0840000000000001</c:v>
                </c:pt>
                <c:pt idx="38">
                  <c:v>2.089</c:v>
                </c:pt>
                <c:pt idx="39">
                  <c:v>2.0699999999999998</c:v>
                </c:pt>
                <c:pt idx="40">
                  <c:v>2.0990000000000002</c:v>
                </c:pt>
                <c:pt idx="41">
                  <c:v>2.149</c:v>
                </c:pt>
                <c:pt idx="42">
                  <c:v>2.1880000000000002</c:v>
                </c:pt>
                <c:pt idx="43">
                  <c:v>2.153</c:v>
                </c:pt>
                <c:pt idx="44">
                  <c:v>2.0920000000000001</c:v>
                </c:pt>
                <c:pt idx="45">
                  <c:v>2.0819999999999999</c:v>
                </c:pt>
                <c:pt idx="46">
                  <c:v>2.0289999999999999</c:v>
                </c:pt>
                <c:pt idx="47">
                  <c:v>2.0289999999999999</c:v>
                </c:pt>
                <c:pt idx="48">
                  <c:v>2.0310000000000001</c:v>
                </c:pt>
                <c:pt idx="49">
                  <c:v>1.9610000000000001</c:v>
                </c:pt>
                <c:pt idx="50">
                  <c:v>1.9710000000000001</c:v>
                </c:pt>
                <c:pt idx="51">
                  <c:v>1.9770000000000001</c:v>
                </c:pt>
                <c:pt idx="52">
                  <c:v>1.982</c:v>
                </c:pt>
                <c:pt idx="53">
                  <c:v>1.931</c:v>
                </c:pt>
                <c:pt idx="54">
                  <c:v>1.9350000000000001</c:v>
                </c:pt>
                <c:pt idx="55">
                  <c:v>1.877</c:v>
                </c:pt>
                <c:pt idx="56">
                  <c:v>1.8320000000000001</c:v>
                </c:pt>
                <c:pt idx="57">
                  <c:v>1.778</c:v>
                </c:pt>
                <c:pt idx="58">
                  <c:v>1.823</c:v>
                </c:pt>
                <c:pt idx="59">
                  <c:v>1.774</c:v>
                </c:pt>
                <c:pt idx="60">
                  <c:v>1.724</c:v>
                </c:pt>
                <c:pt idx="61">
                  <c:v>1.7729999999999999</c:v>
                </c:pt>
                <c:pt idx="62">
                  <c:v>1.8</c:v>
                </c:pt>
                <c:pt idx="63">
                  <c:v>1.8080000000000001</c:v>
                </c:pt>
                <c:pt idx="64">
                  <c:v>1.837</c:v>
                </c:pt>
                <c:pt idx="65">
                  <c:v>1.891</c:v>
                </c:pt>
                <c:pt idx="66">
                  <c:v>1.901</c:v>
                </c:pt>
                <c:pt idx="67">
                  <c:v>1.871</c:v>
                </c:pt>
                <c:pt idx="68">
                  <c:v>1.897</c:v>
                </c:pt>
                <c:pt idx="69">
                  <c:v>1.871</c:v>
                </c:pt>
                <c:pt idx="70">
                  <c:v>1.8560000000000001</c:v>
                </c:pt>
                <c:pt idx="71">
                  <c:v>1.8819999999999999</c:v>
                </c:pt>
                <c:pt idx="72">
                  <c:v>1.95</c:v>
                </c:pt>
                <c:pt idx="73">
                  <c:v>1.929</c:v>
                </c:pt>
                <c:pt idx="74">
                  <c:v>1.954</c:v>
                </c:pt>
                <c:pt idx="75">
                  <c:v>1.9490000000000001</c:v>
                </c:pt>
                <c:pt idx="76">
                  <c:v>1.8939999999999999</c:v>
                </c:pt>
                <c:pt idx="77">
                  <c:v>1.7869999999999999</c:v>
                </c:pt>
                <c:pt idx="78">
                  <c:v>1.7769999999999999</c:v>
                </c:pt>
                <c:pt idx="79">
                  <c:v>1.7869999999999999</c:v>
                </c:pt>
                <c:pt idx="80">
                  <c:v>1.7869999999999999</c:v>
                </c:pt>
                <c:pt idx="81">
                  <c:v>1.7809999999999999</c:v>
                </c:pt>
                <c:pt idx="82">
                  <c:v>1.786</c:v>
                </c:pt>
                <c:pt idx="83">
                  <c:v>1.79</c:v>
                </c:pt>
                <c:pt idx="84">
                  <c:v>1.736</c:v>
                </c:pt>
                <c:pt idx="85">
                  <c:v>1.782</c:v>
                </c:pt>
                <c:pt idx="86">
                  <c:v>1.7330000000000001</c:v>
                </c:pt>
                <c:pt idx="87">
                  <c:v>1.7090000000000001</c:v>
                </c:pt>
                <c:pt idx="88">
                  <c:v>1.7290000000000001</c:v>
                </c:pt>
                <c:pt idx="89">
                  <c:v>1.7250000000000001</c:v>
                </c:pt>
                <c:pt idx="90">
                  <c:v>1.7</c:v>
                </c:pt>
                <c:pt idx="91">
                  <c:v>1.6950000000000001</c:v>
                </c:pt>
                <c:pt idx="92">
                  <c:v>1.64</c:v>
                </c:pt>
                <c:pt idx="93">
                  <c:v>1.641</c:v>
                </c:pt>
                <c:pt idx="94">
                  <c:v>1.6759999999999999</c:v>
                </c:pt>
                <c:pt idx="95">
                  <c:v>1.6359999999999999</c:v>
                </c:pt>
                <c:pt idx="96">
                  <c:v>1.6359999999999999</c:v>
                </c:pt>
                <c:pt idx="97">
                  <c:v>1.581</c:v>
                </c:pt>
                <c:pt idx="98">
                  <c:v>1.522</c:v>
                </c:pt>
                <c:pt idx="99">
                  <c:v>1.552</c:v>
                </c:pt>
                <c:pt idx="100">
                  <c:v>1.5369999999999999</c:v>
                </c:pt>
                <c:pt idx="101">
                  <c:v>1.4850000000000001</c:v>
                </c:pt>
                <c:pt idx="102">
                  <c:v>1.534</c:v>
                </c:pt>
                <c:pt idx="103">
                  <c:v>1.4590000000000001</c:v>
                </c:pt>
                <c:pt idx="104">
                  <c:v>1.5089999999999999</c:v>
                </c:pt>
                <c:pt idx="105">
                  <c:v>1.504</c:v>
                </c:pt>
                <c:pt idx="106">
                  <c:v>1.484</c:v>
                </c:pt>
                <c:pt idx="107">
                  <c:v>1.4690000000000001</c:v>
                </c:pt>
                <c:pt idx="108">
                  <c:v>1.4730000000000001</c:v>
                </c:pt>
                <c:pt idx="109">
                  <c:v>1.454</c:v>
                </c:pt>
                <c:pt idx="110">
                  <c:v>1.429</c:v>
                </c:pt>
                <c:pt idx="111">
                  <c:v>1.405</c:v>
                </c:pt>
                <c:pt idx="112">
                  <c:v>1.375</c:v>
                </c:pt>
                <c:pt idx="113">
                  <c:v>1.393</c:v>
                </c:pt>
                <c:pt idx="114">
                  <c:v>1.373</c:v>
                </c:pt>
                <c:pt idx="115">
                  <c:v>1.343</c:v>
                </c:pt>
                <c:pt idx="116">
                  <c:v>1.2969999999999999</c:v>
                </c:pt>
                <c:pt idx="117">
                  <c:v>1.2829999999999999</c:v>
                </c:pt>
                <c:pt idx="118">
                  <c:v>1.2989999999999999</c:v>
                </c:pt>
                <c:pt idx="119">
                  <c:v>1.2849999999999999</c:v>
                </c:pt>
                <c:pt idx="120">
                  <c:v>1.282</c:v>
                </c:pt>
                <c:pt idx="121">
                  <c:v>1.35</c:v>
                </c:pt>
                <c:pt idx="122">
                  <c:v>1.325</c:v>
                </c:pt>
                <c:pt idx="123">
                  <c:v>1.359</c:v>
                </c:pt>
                <c:pt idx="124">
                  <c:v>1.337</c:v>
                </c:pt>
                <c:pt idx="125">
                  <c:v>1.282</c:v>
                </c:pt>
                <c:pt idx="126">
                  <c:v>1.296</c:v>
                </c:pt>
                <c:pt idx="127">
                  <c:v>1.286</c:v>
                </c:pt>
                <c:pt idx="128">
                  <c:v>1.3260000000000001</c:v>
                </c:pt>
                <c:pt idx="129">
                  <c:v>1.3220000000000001</c:v>
                </c:pt>
                <c:pt idx="130">
                  <c:v>1.357</c:v>
                </c:pt>
                <c:pt idx="131">
                  <c:v>1.337</c:v>
                </c:pt>
                <c:pt idx="132">
                  <c:v>1.4419999999999999</c:v>
                </c:pt>
                <c:pt idx="133">
                  <c:v>1.458</c:v>
                </c:pt>
                <c:pt idx="134">
                  <c:v>1.4079999999999999</c:v>
                </c:pt>
                <c:pt idx="135">
                  <c:v>1.399</c:v>
                </c:pt>
                <c:pt idx="136">
                  <c:v>1.3540000000000001</c:v>
                </c:pt>
                <c:pt idx="137">
                  <c:v>1.3580000000000001</c:v>
                </c:pt>
                <c:pt idx="138">
                  <c:v>1.337</c:v>
                </c:pt>
                <c:pt idx="139">
                  <c:v>1.3220000000000001</c:v>
                </c:pt>
                <c:pt idx="140">
                  <c:v>1.3029999999999999</c:v>
                </c:pt>
                <c:pt idx="141">
                  <c:v>1.234</c:v>
                </c:pt>
                <c:pt idx="142">
                  <c:v>1.234</c:v>
                </c:pt>
                <c:pt idx="143">
                  <c:v>1.2150000000000001</c:v>
                </c:pt>
                <c:pt idx="144">
                  <c:v>1.21</c:v>
                </c:pt>
                <c:pt idx="145">
                  <c:v>1.19</c:v>
                </c:pt>
                <c:pt idx="146">
                  <c:v>1.2150000000000001</c:v>
                </c:pt>
                <c:pt idx="147">
                  <c:v>1.091</c:v>
                </c:pt>
                <c:pt idx="148">
                  <c:v>1.056</c:v>
                </c:pt>
                <c:pt idx="149">
                  <c:v>1.046</c:v>
                </c:pt>
                <c:pt idx="150">
                  <c:v>0.96199999999999997</c:v>
                </c:pt>
                <c:pt idx="151">
                  <c:v>0.98299999999999998</c:v>
                </c:pt>
                <c:pt idx="152">
                  <c:v>0.96299999999999997</c:v>
                </c:pt>
                <c:pt idx="153">
                  <c:v>0.96299999999999997</c:v>
                </c:pt>
                <c:pt idx="154">
                  <c:v>0.93799999999999994</c:v>
                </c:pt>
                <c:pt idx="155">
                  <c:v>0.94799999999999995</c:v>
                </c:pt>
                <c:pt idx="156">
                  <c:v>0.89300000000000002</c:v>
                </c:pt>
                <c:pt idx="157">
                  <c:v>0.88800000000000001</c:v>
                </c:pt>
                <c:pt idx="158">
                  <c:v>0.91800000000000004</c:v>
                </c:pt>
                <c:pt idx="159">
                  <c:v>0.94699999999999995</c:v>
                </c:pt>
                <c:pt idx="160">
                  <c:v>0.93600000000000005</c:v>
                </c:pt>
                <c:pt idx="161">
                  <c:v>0.91500000000000004</c:v>
                </c:pt>
                <c:pt idx="162">
                  <c:v>0.97899999999999998</c:v>
                </c:pt>
                <c:pt idx="163">
                  <c:v>0.89200000000000002</c:v>
                </c:pt>
                <c:pt idx="164">
                  <c:v>0.91100000000000003</c:v>
                </c:pt>
                <c:pt idx="165">
                  <c:v>0.89100000000000001</c:v>
                </c:pt>
                <c:pt idx="166">
                  <c:v>0.88200000000000001</c:v>
                </c:pt>
                <c:pt idx="167">
                  <c:v>0.88900000000000001</c:v>
                </c:pt>
                <c:pt idx="168">
                  <c:v>0.92500000000000004</c:v>
                </c:pt>
                <c:pt idx="169">
                  <c:v>0.94399999999999995</c:v>
                </c:pt>
                <c:pt idx="170">
                  <c:v>0.93500000000000005</c:v>
                </c:pt>
                <c:pt idx="171">
                  <c:v>0.97199999999999998</c:v>
                </c:pt>
                <c:pt idx="172">
                  <c:v>1.0920000000000001</c:v>
                </c:pt>
                <c:pt idx="173">
                  <c:v>1.0329999999999999</c:v>
                </c:pt>
                <c:pt idx="174">
                  <c:v>1.077</c:v>
                </c:pt>
                <c:pt idx="175">
                  <c:v>1.141</c:v>
                </c:pt>
                <c:pt idx="176">
                  <c:v>1.153</c:v>
                </c:pt>
                <c:pt idx="177">
                  <c:v>1.1539999999999999</c:v>
                </c:pt>
                <c:pt idx="178">
                  <c:v>1.1879999999999999</c:v>
                </c:pt>
                <c:pt idx="179">
                  <c:v>1.129</c:v>
                </c:pt>
                <c:pt idx="180">
                  <c:v>1.135</c:v>
                </c:pt>
                <c:pt idx="181">
                  <c:v>1.056</c:v>
                </c:pt>
                <c:pt idx="182">
                  <c:v>1.016</c:v>
                </c:pt>
                <c:pt idx="183">
                  <c:v>0.997</c:v>
                </c:pt>
                <c:pt idx="184">
                  <c:v>0.95699999999999996</c:v>
                </c:pt>
                <c:pt idx="185">
                  <c:v>0.93799999999999994</c:v>
                </c:pt>
                <c:pt idx="186">
                  <c:v>0.94699999999999995</c:v>
                </c:pt>
                <c:pt idx="187">
                  <c:v>0.94199999999999995</c:v>
                </c:pt>
                <c:pt idx="188">
                  <c:v>1.012</c:v>
                </c:pt>
                <c:pt idx="189">
                  <c:v>0.96899999999999997</c:v>
                </c:pt>
                <c:pt idx="190">
                  <c:v>0.95899999999999996</c:v>
                </c:pt>
                <c:pt idx="191">
                  <c:v>0.91500000000000004</c:v>
                </c:pt>
                <c:pt idx="192">
                  <c:v>0.88600000000000001</c:v>
                </c:pt>
                <c:pt idx="193">
                  <c:v>0.89200000000000002</c:v>
                </c:pt>
                <c:pt idx="194">
                  <c:v>0.878</c:v>
                </c:pt>
                <c:pt idx="195">
                  <c:v>0.89100000000000001</c:v>
                </c:pt>
                <c:pt idx="196">
                  <c:v>1.0129999999999999</c:v>
                </c:pt>
                <c:pt idx="197">
                  <c:v>1.042</c:v>
                </c:pt>
                <c:pt idx="198">
                  <c:v>1.0129999999999999</c:v>
                </c:pt>
                <c:pt idx="199">
                  <c:v>1.046</c:v>
                </c:pt>
                <c:pt idx="200">
                  <c:v>1.1000000000000001</c:v>
                </c:pt>
                <c:pt idx="201">
                  <c:v>1.101</c:v>
                </c:pt>
                <c:pt idx="202">
                  <c:v>1.145</c:v>
                </c:pt>
                <c:pt idx="203">
                  <c:v>1.1659999999999999</c:v>
                </c:pt>
                <c:pt idx="204">
                  <c:v>1.1020000000000001</c:v>
                </c:pt>
                <c:pt idx="205">
                  <c:v>1.0820000000000001</c:v>
                </c:pt>
                <c:pt idx="206">
                  <c:v>1.0569999999999999</c:v>
                </c:pt>
                <c:pt idx="207">
                  <c:v>1.0920000000000001</c:v>
                </c:pt>
                <c:pt idx="208">
                  <c:v>1.181</c:v>
                </c:pt>
                <c:pt idx="209">
                  <c:v>1.1359999999999999</c:v>
                </c:pt>
                <c:pt idx="210">
                  <c:v>1.1359999999999999</c:v>
                </c:pt>
                <c:pt idx="211">
                  <c:v>1.0960000000000001</c:v>
                </c:pt>
                <c:pt idx="212">
                  <c:v>1.1759999999999999</c:v>
                </c:pt>
                <c:pt idx="213">
                  <c:v>1.2</c:v>
                </c:pt>
                <c:pt idx="214">
                  <c:v>1.27</c:v>
                </c:pt>
                <c:pt idx="215">
                  <c:v>1.2110000000000001</c:v>
                </c:pt>
                <c:pt idx="216">
                  <c:v>1.2909999999999999</c:v>
                </c:pt>
                <c:pt idx="217">
                  <c:v>1.296</c:v>
                </c:pt>
                <c:pt idx="218">
                  <c:v>1.282</c:v>
                </c:pt>
                <c:pt idx="219">
                  <c:v>1.272</c:v>
                </c:pt>
                <c:pt idx="220">
                  <c:v>1.177</c:v>
                </c:pt>
                <c:pt idx="221">
                  <c:v>1.161</c:v>
                </c:pt>
                <c:pt idx="222">
                  <c:v>1.167</c:v>
                </c:pt>
                <c:pt idx="223">
                  <c:v>1.127</c:v>
                </c:pt>
                <c:pt idx="224">
                  <c:v>1.0720000000000001</c:v>
                </c:pt>
                <c:pt idx="225">
                  <c:v>1.0720000000000001</c:v>
                </c:pt>
                <c:pt idx="226">
                  <c:v>1.097</c:v>
                </c:pt>
                <c:pt idx="227">
                  <c:v>1.0920000000000001</c:v>
                </c:pt>
                <c:pt idx="228">
                  <c:v>1.077</c:v>
                </c:pt>
                <c:pt idx="229">
                  <c:v>1.018</c:v>
                </c:pt>
                <c:pt idx="230">
                  <c:v>0.999</c:v>
                </c:pt>
                <c:pt idx="231">
                  <c:v>1.034</c:v>
                </c:pt>
                <c:pt idx="232">
                  <c:v>1.0940000000000001</c:v>
                </c:pt>
                <c:pt idx="233">
                  <c:v>1.1950000000000001</c:v>
                </c:pt>
                <c:pt idx="234">
                  <c:v>1.0629999999999999</c:v>
                </c:pt>
                <c:pt idx="235">
                  <c:v>1.0920000000000001</c:v>
                </c:pt>
                <c:pt idx="236">
                  <c:v>1.127</c:v>
                </c:pt>
                <c:pt idx="237">
                  <c:v>1.151</c:v>
                </c:pt>
                <c:pt idx="238">
                  <c:v>1.107</c:v>
                </c:pt>
                <c:pt idx="239">
                  <c:v>1.1559999999999999</c:v>
                </c:pt>
                <c:pt idx="240">
                  <c:v>1.1319999999999999</c:v>
                </c:pt>
                <c:pt idx="241">
                  <c:v>1.258</c:v>
                </c:pt>
                <c:pt idx="242">
                  <c:v>1.1579999999999999</c:v>
                </c:pt>
                <c:pt idx="243">
                  <c:v>1.1579999999999999</c:v>
                </c:pt>
                <c:pt idx="244">
                  <c:v>1.208</c:v>
                </c:pt>
                <c:pt idx="245">
                  <c:v>1.2689999999999999</c:v>
                </c:pt>
                <c:pt idx="246">
                  <c:v>1.2889999999999999</c:v>
                </c:pt>
                <c:pt idx="247">
                  <c:v>1.2989999999999999</c:v>
                </c:pt>
                <c:pt idx="248">
                  <c:v>1.31</c:v>
                </c:pt>
                <c:pt idx="249">
                  <c:v>1.3089999999999999</c:v>
                </c:pt>
                <c:pt idx="250">
                  <c:v>1.3089999999999999</c:v>
                </c:pt>
                <c:pt idx="251">
                  <c:v>1.357</c:v>
                </c:pt>
                <c:pt idx="252">
                  <c:v>1.345</c:v>
                </c:pt>
                <c:pt idx="253">
                  <c:v>1.2549999999999999</c:v>
                </c:pt>
                <c:pt idx="254">
                  <c:v>1.206</c:v>
                </c:pt>
                <c:pt idx="255">
                  <c:v>1.2210000000000001</c:v>
                </c:pt>
                <c:pt idx="256">
                  <c:v>1.1879999999999999</c:v>
                </c:pt>
                <c:pt idx="257">
                  <c:v>1.2410000000000001</c:v>
                </c:pt>
                <c:pt idx="258">
                  <c:v>1.2569999999999999</c:v>
                </c:pt>
                <c:pt idx="259">
                  <c:v>1.214</c:v>
                </c:pt>
                <c:pt idx="260">
                  <c:v>1.2609999999999999</c:v>
                </c:pt>
                <c:pt idx="261">
                  <c:v>1.2170000000000001</c:v>
                </c:pt>
                <c:pt idx="262">
                  <c:v>1.1870000000000001</c:v>
                </c:pt>
                <c:pt idx="263">
                  <c:v>1.1819999999999999</c:v>
                </c:pt>
                <c:pt idx="264">
                  <c:v>1.177</c:v>
                </c:pt>
                <c:pt idx="265">
                  <c:v>1.163</c:v>
                </c:pt>
                <c:pt idx="266">
                  <c:v>1.119</c:v>
                </c:pt>
                <c:pt idx="267">
                  <c:v>1.105</c:v>
                </c:pt>
                <c:pt idx="268">
                  <c:v>1.091</c:v>
                </c:pt>
                <c:pt idx="269">
                  <c:v>0.95699999999999996</c:v>
                </c:pt>
                <c:pt idx="270">
                  <c:v>1.0169999999999999</c:v>
                </c:pt>
                <c:pt idx="271">
                  <c:v>0.96799999999999997</c:v>
                </c:pt>
                <c:pt idx="272">
                  <c:v>0.95799999999999996</c:v>
                </c:pt>
                <c:pt idx="273">
                  <c:v>0.92900000000000005</c:v>
                </c:pt>
                <c:pt idx="274">
                  <c:v>0.92900000000000005</c:v>
                </c:pt>
                <c:pt idx="275">
                  <c:v>1.038</c:v>
                </c:pt>
                <c:pt idx="276">
                  <c:v>1.097</c:v>
                </c:pt>
                <c:pt idx="277">
                  <c:v>1.048</c:v>
                </c:pt>
                <c:pt idx="278">
                  <c:v>1.0129999999999999</c:v>
                </c:pt>
                <c:pt idx="279">
                  <c:v>1.024</c:v>
                </c:pt>
                <c:pt idx="280">
                  <c:v>1.069</c:v>
                </c:pt>
                <c:pt idx="281">
                  <c:v>1.048</c:v>
                </c:pt>
                <c:pt idx="282">
                  <c:v>1.0529999999999999</c:v>
                </c:pt>
                <c:pt idx="283">
                  <c:v>1.0589999999999999</c:v>
                </c:pt>
                <c:pt idx="284">
                  <c:v>1.024</c:v>
                </c:pt>
                <c:pt idx="285">
                  <c:v>1.0289999999999999</c:v>
                </c:pt>
                <c:pt idx="286">
                  <c:v>0.99399999999999999</c:v>
                </c:pt>
                <c:pt idx="287">
                  <c:v>0.92900000000000005</c:v>
                </c:pt>
                <c:pt idx="288">
                  <c:v>0.91100000000000003</c:v>
                </c:pt>
                <c:pt idx="289">
                  <c:v>0.92</c:v>
                </c:pt>
                <c:pt idx="290">
                  <c:v>0.91</c:v>
                </c:pt>
                <c:pt idx="291">
                  <c:v>0.84499999999999997</c:v>
                </c:pt>
                <c:pt idx="292">
                  <c:v>0.81</c:v>
                </c:pt>
                <c:pt idx="293">
                  <c:v>0.79700000000000004</c:v>
                </c:pt>
                <c:pt idx="294">
                  <c:v>0.78500000000000003</c:v>
                </c:pt>
                <c:pt idx="295">
                  <c:v>0.71299999999999997</c:v>
                </c:pt>
                <c:pt idx="296">
                  <c:v>0.77300000000000002</c:v>
                </c:pt>
                <c:pt idx="297">
                  <c:v>0.66800000000000004</c:v>
                </c:pt>
                <c:pt idx="298">
                  <c:v>0.60599999999999998</c:v>
                </c:pt>
                <c:pt idx="299">
                  <c:v>0.78900000000000003</c:v>
                </c:pt>
                <c:pt idx="300">
                  <c:v>0.67100000000000004</c:v>
                </c:pt>
                <c:pt idx="301">
                  <c:v>0.76300000000000001</c:v>
                </c:pt>
                <c:pt idx="302">
                  <c:v>0.96899999999999997</c:v>
                </c:pt>
                <c:pt idx="303">
                  <c:v>0.90800000000000003</c:v>
                </c:pt>
                <c:pt idx="304">
                  <c:v>1.032</c:v>
                </c:pt>
                <c:pt idx="305">
                  <c:v>1.2110000000000001</c:v>
                </c:pt>
                <c:pt idx="306">
                  <c:v>1.4830000000000001</c:v>
                </c:pt>
                <c:pt idx="307">
                  <c:v>1.1359999999999999</c:v>
                </c:pt>
                <c:pt idx="308">
                  <c:v>0.90800000000000003</c:v>
                </c:pt>
                <c:pt idx="309">
                  <c:v>0.89</c:v>
                </c:pt>
                <c:pt idx="310">
                  <c:v>0.97299999999999998</c:v>
                </c:pt>
                <c:pt idx="311">
                  <c:v>0.91900000000000004</c:v>
                </c:pt>
                <c:pt idx="312">
                  <c:v>0.91700000000000004</c:v>
                </c:pt>
                <c:pt idx="313">
                  <c:v>0.77500000000000002</c:v>
                </c:pt>
                <c:pt idx="314">
                  <c:v>0.755</c:v>
                </c:pt>
                <c:pt idx="315">
                  <c:v>0.67</c:v>
                </c:pt>
                <c:pt idx="316">
                  <c:v>0.75900000000000001</c:v>
                </c:pt>
                <c:pt idx="317">
                  <c:v>0.754</c:v>
                </c:pt>
                <c:pt idx="318">
                  <c:v>0.76900000000000002</c:v>
                </c:pt>
                <c:pt idx="319">
                  <c:v>0.91200000000000003</c:v>
                </c:pt>
                <c:pt idx="320">
                  <c:v>0.91100000000000003</c:v>
                </c:pt>
                <c:pt idx="321">
                  <c:v>0.89900000000000002</c:v>
                </c:pt>
                <c:pt idx="322">
                  <c:v>0.91800000000000004</c:v>
                </c:pt>
                <c:pt idx="323">
                  <c:v>0.90700000000000003</c:v>
                </c:pt>
                <c:pt idx="324">
                  <c:v>0.84199999999999997</c:v>
                </c:pt>
                <c:pt idx="325">
                  <c:v>0.85199999999999998</c:v>
                </c:pt>
                <c:pt idx="326">
                  <c:v>0.83299999999999996</c:v>
                </c:pt>
                <c:pt idx="327">
                  <c:v>0.85199999999999998</c:v>
                </c:pt>
                <c:pt idx="328">
                  <c:v>0.83599999999999997</c:v>
                </c:pt>
                <c:pt idx="329">
                  <c:v>0.872</c:v>
                </c:pt>
                <c:pt idx="330">
                  <c:v>0.872</c:v>
                </c:pt>
                <c:pt idx="331">
                  <c:v>0.90700000000000003</c:v>
                </c:pt>
                <c:pt idx="332">
                  <c:v>0.92200000000000004</c:v>
                </c:pt>
                <c:pt idx="333">
                  <c:v>0.91700000000000004</c:v>
                </c:pt>
                <c:pt idx="334">
                  <c:v>0.88700000000000001</c:v>
                </c:pt>
                <c:pt idx="335">
                  <c:v>0.86699999999999999</c:v>
                </c:pt>
                <c:pt idx="336">
                  <c:v>0.82799999999999996</c:v>
                </c:pt>
                <c:pt idx="337">
                  <c:v>0.86499999999999999</c:v>
                </c:pt>
                <c:pt idx="338">
                  <c:v>0.91400000000000003</c:v>
                </c:pt>
                <c:pt idx="339">
                  <c:v>0.92400000000000004</c:v>
                </c:pt>
                <c:pt idx="340">
                  <c:v>0.89</c:v>
                </c:pt>
                <c:pt idx="341">
                  <c:v>0.96</c:v>
                </c:pt>
                <c:pt idx="342">
                  <c:v>0.95599999999999996</c:v>
                </c:pt>
                <c:pt idx="343">
                  <c:v>0.95599999999999996</c:v>
                </c:pt>
                <c:pt idx="344">
                  <c:v>0.89700000000000002</c:v>
                </c:pt>
                <c:pt idx="345">
                  <c:v>0.90800000000000003</c:v>
                </c:pt>
                <c:pt idx="346">
                  <c:v>0.90900000000000003</c:v>
                </c:pt>
                <c:pt idx="347">
                  <c:v>0.97799999999999998</c:v>
                </c:pt>
                <c:pt idx="348">
                  <c:v>0.94799999999999995</c:v>
                </c:pt>
                <c:pt idx="349">
                  <c:v>0.91200000000000003</c:v>
                </c:pt>
                <c:pt idx="350">
                  <c:v>0.86799999999999999</c:v>
                </c:pt>
                <c:pt idx="351">
                  <c:v>0.86</c:v>
                </c:pt>
                <c:pt idx="352">
                  <c:v>0.88400000000000001</c:v>
                </c:pt>
                <c:pt idx="353">
                  <c:v>0.879</c:v>
                </c:pt>
                <c:pt idx="354">
                  <c:v>0.879</c:v>
                </c:pt>
                <c:pt idx="355">
                  <c:v>0.88500000000000001</c:v>
                </c:pt>
                <c:pt idx="356">
                  <c:v>0.89500000000000002</c:v>
                </c:pt>
                <c:pt idx="357">
                  <c:v>0.90700000000000003</c:v>
                </c:pt>
                <c:pt idx="358">
                  <c:v>0.96799999999999997</c:v>
                </c:pt>
                <c:pt idx="359">
                  <c:v>1.022</c:v>
                </c:pt>
                <c:pt idx="360">
                  <c:v>1.0940000000000001</c:v>
                </c:pt>
                <c:pt idx="361">
                  <c:v>1.052</c:v>
                </c:pt>
                <c:pt idx="362">
                  <c:v>1.022</c:v>
                </c:pt>
                <c:pt idx="363">
                  <c:v>0.92500000000000004</c:v>
                </c:pt>
                <c:pt idx="364">
                  <c:v>0.91300000000000003</c:v>
                </c:pt>
                <c:pt idx="365">
                  <c:v>0.86499999999999999</c:v>
                </c:pt>
                <c:pt idx="366">
                  <c:v>0.92</c:v>
                </c:pt>
                <c:pt idx="367">
                  <c:v>0.92100000000000004</c:v>
                </c:pt>
                <c:pt idx="368">
                  <c:v>0.88600000000000001</c:v>
                </c:pt>
                <c:pt idx="369">
                  <c:v>0.86599999999999999</c:v>
                </c:pt>
                <c:pt idx="370">
                  <c:v>0.872</c:v>
                </c:pt>
                <c:pt idx="371">
                  <c:v>0.90700000000000003</c:v>
                </c:pt>
                <c:pt idx="372">
                  <c:v>0.92900000000000005</c:v>
                </c:pt>
                <c:pt idx="373">
                  <c:v>0.88900000000000001</c:v>
                </c:pt>
                <c:pt idx="374">
                  <c:v>0.873</c:v>
                </c:pt>
                <c:pt idx="375">
                  <c:v>0.88800000000000001</c:v>
                </c:pt>
                <c:pt idx="376">
                  <c:v>0.878</c:v>
                </c:pt>
                <c:pt idx="377">
                  <c:v>0.94299999999999995</c:v>
                </c:pt>
                <c:pt idx="378">
                  <c:v>0.93200000000000005</c:v>
                </c:pt>
                <c:pt idx="379">
                  <c:v>0.91300000000000003</c:v>
                </c:pt>
                <c:pt idx="380">
                  <c:v>0.93400000000000005</c:v>
                </c:pt>
                <c:pt idx="381">
                  <c:v>0.89400000000000002</c:v>
                </c:pt>
                <c:pt idx="382">
                  <c:v>0.88</c:v>
                </c:pt>
                <c:pt idx="383">
                  <c:v>0.91</c:v>
                </c:pt>
                <c:pt idx="384">
                  <c:v>0.871</c:v>
                </c:pt>
                <c:pt idx="385">
                  <c:v>0.91200000000000003</c:v>
                </c:pt>
                <c:pt idx="386">
                  <c:v>0.92200000000000004</c:v>
                </c:pt>
                <c:pt idx="387">
                  <c:v>0.88300000000000001</c:v>
                </c:pt>
                <c:pt idx="388">
                  <c:v>0.89400000000000002</c:v>
                </c:pt>
                <c:pt idx="389">
                  <c:v>0.88</c:v>
                </c:pt>
                <c:pt idx="390">
                  <c:v>0.9</c:v>
                </c:pt>
                <c:pt idx="391">
                  <c:v>0.876</c:v>
                </c:pt>
                <c:pt idx="392">
                  <c:v>0.90200000000000002</c:v>
                </c:pt>
                <c:pt idx="393">
                  <c:v>0.876</c:v>
                </c:pt>
                <c:pt idx="394">
                  <c:v>0.88</c:v>
                </c:pt>
                <c:pt idx="395">
                  <c:v>0.9</c:v>
                </c:pt>
                <c:pt idx="396">
                  <c:v>0.93300000000000005</c:v>
                </c:pt>
                <c:pt idx="397">
                  <c:v>0.89</c:v>
                </c:pt>
                <c:pt idx="398">
                  <c:v>0.87</c:v>
                </c:pt>
                <c:pt idx="399">
                  <c:v>0.82899999999999996</c:v>
                </c:pt>
                <c:pt idx="400">
                  <c:v>0.87</c:v>
                </c:pt>
                <c:pt idx="401">
                  <c:v>0.84599999999999997</c:v>
                </c:pt>
                <c:pt idx="402">
                  <c:v>0.83599999999999997</c:v>
                </c:pt>
                <c:pt idx="403">
                  <c:v>0.86899999999999999</c:v>
                </c:pt>
                <c:pt idx="404">
                  <c:v>0.84399999999999997</c:v>
                </c:pt>
                <c:pt idx="405">
                  <c:v>0.879</c:v>
                </c:pt>
                <c:pt idx="406">
                  <c:v>0.88500000000000001</c:v>
                </c:pt>
                <c:pt idx="407">
                  <c:v>0.93400000000000005</c:v>
                </c:pt>
                <c:pt idx="408">
                  <c:v>0.90400000000000003</c:v>
                </c:pt>
                <c:pt idx="409">
                  <c:v>0.95</c:v>
                </c:pt>
                <c:pt idx="410">
                  <c:v>0.91600000000000004</c:v>
                </c:pt>
                <c:pt idx="411">
                  <c:v>0.88700000000000001</c:v>
                </c:pt>
                <c:pt idx="412">
                  <c:v>0.88200000000000001</c:v>
                </c:pt>
                <c:pt idx="413">
                  <c:v>0.873</c:v>
                </c:pt>
                <c:pt idx="414">
                  <c:v>0.89800000000000002</c:v>
                </c:pt>
                <c:pt idx="415">
                  <c:v>0.874</c:v>
                </c:pt>
                <c:pt idx="416">
                  <c:v>0.90500000000000003</c:v>
                </c:pt>
                <c:pt idx="417">
                  <c:v>0.97</c:v>
                </c:pt>
                <c:pt idx="418">
                  <c:v>0.93500000000000005</c:v>
                </c:pt>
                <c:pt idx="419">
                  <c:v>1.04</c:v>
                </c:pt>
                <c:pt idx="420">
                  <c:v>1.0009999999999999</c:v>
                </c:pt>
                <c:pt idx="421">
                  <c:v>0.99199999999999999</c:v>
                </c:pt>
                <c:pt idx="422">
                  <c:v>0.95399999999999996</c:v>
                </c:pt>
                <c:pt idx="423">
                  <c:v>0.92900000000000005</c:v>
                </c:pt>
                <c:pt idx="424">
                  <c:v>0.91</c:v>
                </c:pt>
                <c:pt idx="425">
                  <c:v>0.99099999999999999</c:v>
                </c:pt>
                <c:pt idx="426">
                  <c:v>0.99299999999999999</c:v>
                </c:pt>
                <c:pt idx="427">
                  <c:v>0.91500000000000004</c:v>
                </c:pt>
                <c:pt idx="428">
                  <c:v>0.95499999999999996</c:v>
                </c:pt>
                <c:pt idx="429">
                  <c:v>0.93400000000000005</c:v>
                </c:pt>
                <c:pt idx="430">
                  <c:v>0.89100000000000001</c:v>
                </c:pt>
                <c:pt idx="431">
                  <c:v>0.88900000000000001</c:v>
                </c:pt>
                <c:pt idx="432">
                  <c:v>0.88900000000000001</c:v>
                </c:pt>
                <c:pt idx="433">
                  <c:v>0.86899999999999999</c:v>
                </c:pt>
                <c:pt idx="434">
                  <c:v>0.91300000000000003</c:v>
                </c:pt>
                <c:pt idx="435">
                  <c:v>0.879</c:v>
                </c:pt>
                <c:pt idx="436">
                  <c:v>0.85599999999999998</c:v>
                </c:pt>
                <c:pt idx="437">
                  <c:v>0.83199999999999996</c:v>
                </c:pt>
                <c:pt idx="438">
                  <c:v>0.83199999999999996</c:v>
                </c:pt>
                <c:pt idx="439">
                  <c:v>0.82599999999999996</c:v>
                </c:pt>
                <c:pt idx="440">
                  <c:v>0.80200000000000005</c:v>
                </c:pt>
                <c:pt idx="441">
                  <c:v>0.80700000000000005</c:v>
                </c:pt>
                <c:pt idx="442">
                  <c:v>0.81599999999999995</c:v>
                </c:pt>
                <c:pt idx="443">
                  <c:v>0.876</c:v>
                </c:pt>
                <c:pt idx="444">
                  <c:v>0.81200000000000006</c:v>
                </c:pt>
                <c:pt idx="445">
                  <c:v>0.86199999999999999</c:v>
                </c:pt>
                <c:pt idx="446">
                  <c:v>0.82199999999999995</c:v>
                </c:pt>
                <c:pt idx="447">
                  <c:v>0.84699999999999998</c:v>
                </c:pt>
                <c:pt idx="448">
                  <c:v>0.83299999999999996</c:v>
                </c:pt>
                <c:pt idx="449">
                  <c:v>0.82899999999999996</c:v>
                </c:pt>
                <c:pt idx="450">
                  <c:v>0.83</c:v>
                </c:pt>
                <c:pt idx="451">
                  <c:v>0.82</c:v>
                </c:pt>
                <c:pt idx="452">
                  <c:v>0.745</c:v>
                </c:pt>
                <c:pt idx="453">
                  <c:v>0.70499999999999996</c:v>
                </c:pt>
                <c:pt idx="454">
                  <c:v>0.73499999999999999</c:v>
                </c:pt>
                <c:pt idx="455">
                  <c:v>0.74099999999999999</c:v>
                </c:pt>
                <c:pt idx="456">
                  <c:v>0.78500000000000003</c:v>
                </c:pt>
                <c:pt idx="457">
                  <c:v>0.79500000000000004</c:v>
                </c:pt>
                <c:pt idx="458">
                  <c:v>0.84</c:v>
                </c:pt>
                <c:pt idx="459">
                  <c:v>0.79200000000000004</c:v>
                </c:pt>
                <c:pt idx="460">
                  <c:v>0.78800000000000003</c:v>
                </c:pt>
                <c:pt idx="461">
                  <c:v>0.76900000000000002</c:v>
                </c:pt>
                <c:pt idx="462">
                  <c:v>0.79800000000000004</c:v>
                </c:pt>
                <c:pt idx="463">
                  <c:v>0.81299999999999994</c:v>
                </c:pt>
                <c:pt idx="464">
                  <c:v>0.80900000000000005</c:v>
                </c:pt>
                <c:pt idx="465">
                  <c:v>0.75800000000000001</c:v>
                </c:pt>
                <c:pt idx="466">
                  <c:v>0.77900000000000003</c:v>
                </c:pt>
                <c:pt idx="467">
                  <c:v>0.72899999999999998</c:v>
                </c:pt>
                <c:pt idx="468">
                  <c:v>0.74099999999999999</c:v>
                </c:pt>
                <c:pt idx="469">
                  <c:v>0.75700000000000001</c:v>
                </c:pt>
                <c:pt idx="470">
                  <c:v>0.90700000000000003</c:v>
                </c:pt>
                <c:pt idx="471">
                  <c:v>0.98099999999999998</c:v>
                </c:pt>
                <c:pt idx="472">
                  <c:v>0.90200000000000002</c:v>
                </c:pt>
                <c:pt idx="473">
                  <c:v>0.86899999999999999</c:v>
                </c:pt>
                <c:pt idx="474">
                  <c:v>0.879</c:v>
                </c:pt>
                <c:pt idx="475">
                  <c:v>0.94499999999999995</c:v>
                </c:pt>
                <c:pt idx="476">
                  <c:v>0.875</c:v>
                </c:pt>
                <c:pt idx="477">
                  <c:v>0.875</c:v>
                </c:pt>
                <c:pt idx="478">
                  <c:v>0.85099999999999998</c:v>
                </c:pt>
                <c:pt idx="479">
                  <c:v>0.83599999999999997</c:v>
                </c:pt>
                <c:pt idx="480">
                  <c:v>0.88200000000000001</c:v>
                </c:pt>
                <c:pt idx="481">
                  <c:v>0.92200000000000004</c:v>
                </c:pt>
                <c:pt idx="482">
                  <c:v>0.90200000000000002</c:v>
                </c:pt>
                <c:pt idx="483">
                  <c:v>0.89300000000000002</c:v>
                </c:pt>
                <c:pt idx="484">
                  <c:v>0.88900000000000001</c:v>
                </c:pt>
                <c:pt idx="485">
                  <c:v>0.90900000000000003</c:v>
                </c:pt>
                <c:pt idx="486">
                  <c:v>0.97399999999999998</c:v>
                </c:pt>
                <c:pt idx="487">
                  <c:v>1.008</c:v>
                </c:pt>
                <c:pt idx="488">
                  <c:v>0.98399999999999999</c:v>
                </c:pt>
                <c:pt idx="489">
                  <c:v>1.03</c:v>
                </c:pt>
                <c:pt idx="490">
                  <c:v>1.0169999999999999</c:v>
                </c:pt>
                <c:pt idx="491">
                  <c:v>1.02</c:v>
                </c:pt>
                <c:pt idx="492">
                  <c:v>0.98199999999999998</c:v>
                </c:pt>
                <c:pt idx="493">
                  <c:v>0.98199999999999998</c:v>
                </c:pt>
                <c:pt idx="494">
                  <c:v>0.96099999999999997</c:v>
                </c:pt>
                <c:pt idx="495">
                  <c:v>0.96099999999999997</c:v>
                </c:pt>
                <c:pt idx="496">
                  <c:v>0.95899999999999996</c:v>
                </c:pt>
                <c:pt idx="497">
                  <c:v>0.98199999999999998</c:v>
                </c:pt>
                <c:pt idx="498">
                  <c:v>0.98399999999999999</c:v>
                </c:pt>
                <c:pt idx="499">
                  <c:v>0.96</c:v>
                </c:pt>
                <c:pt idx="500">
                  <c:v>0.95</c:v>
                </c:pt>
                <c:pt idx="501">
                  <c:v>0.92700000000000005</c:v>
                </c:pt>
                <c:pt idx="502">
                  <c:v>0.99199999999999999</c:v>
                </c:pt>
                <c:pt idx="503">
                  <c:v>0.96499999999999997</c:v>
                </c:pt>
                <c:pt idx="504">
                  <c:v>0.98099999999999998</c:v>
                </c:pt>
                <c:pt idx="505">
                  <c:v>0.97299999999999998</c:v>
                </c:pt>
                <c:pt idx="506">
                  <c:v>0.98399999999999999</c:v>
                </c:pt>
                <c:pt idx="507">
                  <c:v>0.94799999999999995</c:v>
                </c:pt>
                <c:pt idx="508">
                  <c:v>1.03</c:v>
                </c:pt>
                <c:pt idx="509">
                  <c:v>1.05</c:v>
                </c:pt>
                <c:pt idx="510">
                  <c:v>1.0900000000000001</c:v>
                </c:pt>
                <c:pt idx="511">
                  <c:v>1.071</c:v>
                </c:pt>
                <c:pt idx="512">
                  <c:v>1.1100000000000001</c:v>
                </c:pt>
                <c:pt idx="513">
                  <c:v>1.071</c:v>
                </c:pt>
                <c:pt idx="514">
                  <c:v>1.0620000000000001</c:v>
                </c:pt>
                <c:pt idx="515">
                  <c:v>1.048</c:v>
                </c:pt>
                <c:pt idx="516">
                  <c:v>1.034</c:v>
                </c:pt>
                <c:pt idx="517">
                  <c:v>1.06</c:v>
                </c:pt>
                <c:pt idx="518">
                  <c:v>1.0509999999999999</c:v>
                </c:pt>
                <c:pt idx="519">
                  <c:v>1.0309999999999999</c:v>
                </c:pt>
                <c:pt idx="520">
                  <c:v>1.0920000000000001</c:v>
                </c:pt>
                <c:pt idx="521">
                  <c:v>1.069</c:v>
                </c:pt>
                <c:pt idx="522">
                  <c:v>1.0589999999999999</c:v>
                </c:pt>
                <c:pt idx="523">
                  <c:v>1.046</c:v>
                </c:pt>
                <c:pt idx="524">
                  <c:v>1.0960000000000001</c:v>
                </c:pt>
                <c:pt idx="525">
                  <c:v>1.1180000000000001</c:v>
                </c:pt>
                <c:pt idx="526">
                  <c:v>1.1220000000000001</c:v>
                </c:pt>
                <c:pt idx="527">
                  <c:v>1.143</c:v>
                </c:pt>
                <c:pt idx="528">
                  <c:v>1.196</c:v>
                </c:pt>
                <c:pt idx="529">
                  <c:v>1.1619999999999999</c:v>
                </c:pt>
                <c:pt idx="530">
                  <c:v>1.238</c:v>
                </c:pt>
                <c:pt idx="531">
                  <c:v>1.1990000000000001</c:v>
                </c:pt>
                <c:pt idx="532">
                  <c:v>1.19</c:v>
                </c:pt>
                <c:pt idx="533">
                  <c:v>1.155</c:v>
                </c:pt>
                <c:pt idx="534">
                  <c:v>1.19</c:v>
                </c:pt>
                <c:pt idx="535">
                  <c:v>1.29</c:v>
                </c:pt>
                <c:pt idx="536">
                  <c:v>1.292</c:v>
                </c:pt>
                <c:pt idx="537">
                  <c:v>1.3720000000000001</c:v>
                </c:pt>
                <c:pt idx="538">
                  <c:v>1.337</c:v>
                </c:pt>
                <c:pt idx="539">
                  <c:v>1.403</c:v>
                </c:pt>
                <c:pt idx="540">
                  <c:v>1.573</c:v>
                </c:pt>
                <c:pt idx="541">
                  <c:v>1.534</c:v>
                </c:pt>
                <c:pt idx="542">
                  <c:v>1.581</c:v>
                </c:pt>
                <c:pt idx="543">
                  <c:v>1.7030000000000001</c:v>
                </c:pt>
                <c:pt idx="544">
                  <c:v>1.885</c:v>
                </c:pt>
                <c:pt idx="545">
                  <c:v>1.64</c:v>
                </c:pt>
                <c:pt idx="546">
                  <c:v>1.6890000000000001</c:v>
                </c:pt>
                <c:pt idx="547">
                  <c:v>1.65</c:v>
                </c:pt>
                <c:pt idx="548">
                  <c:v>1.7470000000000001</c:v>
                </c:pt>
                <c:pt idx="549">
                  <c:v>1.8080000000000001</c:v>
                </c:pt>
                <c:pt idx="550">
                  <c:v>1.746</c:v>
                </c:pt>
                <c:pt idx="551">
                  <c:v>1.756</c:v>
                </c:pt>
                <c:pt idx="552">
                  <c:v>1.6859999999999999</c:v>
                </c:pt>
                <c:pt idx="553">
                  <c:v>1.631</c:v>
                </c:pt>
                <c:pt idx="554">
                  <c:v>1.6879999999999999</c:v>
                </c:pt>
                <c:pt idx="555">
                  <c:v>1.7669999999999999</c:v>
                </c:pt>
                <c:pt idx="556">
                  <c:v>1.67</c:v>
                </c:pt>
                <c:pt idx="557">
                  <c:v>1.6950000000000001</c:v>
                </c:pt>
                <c:pt idx="558">
                  <c:v>1.7609999999999999</c:v>
                </c:pt>
                <c:pt idx="559">
                  <c:v>1.78</c:v>
                </c:pt>
                <c:pt idx="560">
                  <c:v>1.7370000000000001</c:v>
                </c:pt>
                <c:pt idx="561">
                  <c:v>1.7070000000000001</c:v>
                </c:pt>
                <c:pt idx="562">
                  <c:v>1.63</c:v>
                </c:pt>
                <c:pt idx="563">
                  <c:v>1.657</c:v>
                </c:pt>
                <c:pt idx="564">
                  <c:v>1.6319999999999999</c:v>
                </c:pt>
                <c:pt idx="565">
                  <c:v>1.6659999999999999</c:v>
                </c:pt>
                <c:pt idx="566">
                  <c:v>1.7569999999999999</c:v>
                </c:pt>
                <c:pt idx="567">
                  <c:v>1.7629999999999999</c:v>
                </c:pt>
                <c:pt idx="568">
                  <c:v>1.76</c:v>
                </c:pt>
                <c:pt idx="569">
                  <c:v>1.7030000000000001</c:v>
                </c:pt>
                <c:pt idx="570">
                  <c:v>1.67</c:v>
                </c:pt>
                <c:pt idx="571">
                  <c:v>1.661</c:v>
                </c:pt>
                <c:pt idx="572">
                  <c:v>1.677</c:v>
                </c:pt>
                <c:pt idx="573">
                  <c:v>1.694</c:v>
                </c:pt>
                <c:pt idx="574">
                  <c:v>1.7350000000000001</c:v>
                </c:pt>
                <c:pt idx="575">
                  <c:v>1.6719999999999999</c:v>
                </c:pt>
                <c:pt idx="576">
                  <c:v>1.6919999999999999</c:v>
                </c:pt>
                <c:pt idx="577">
                  <c:v>1.659</c:v>
                </c:pt>
                <c:pt idx="578">
                  <c:v>1.64</c:v>
                </c:pt>
                <c:pt idx="579">
                  <c:v>1.7050000000000001</c:v>
                </c:pt>
                <c:pt idx="580">
                  <c:v>1.657</c:v>
                </c:pt>
                <c:pt idx="581">
                  <c:v>1.623</c:v>
                </c:pt>
                <c:pt idx="582">
                  <c:v>1.659</c:v>
                </c:pt>
                <c:pt idx="583">
                  <c:v>1.68</c:v>
                </c:pt>
                <c:pt idx="584">
                  <c:v>1.6659999999999999</c:v>
                </c:pt>
                <c:pt idx="585">
                  <c:v>1.657</c:v>
                </c:pt>
                <c:pt idx="586">
                  <c:v>1.643</c:v>
                </c:pt>
                <c:pt idx="587">
                  <c:v>1.6739999999999999</c:v>
                </c:pt>
                <c:pt idx="588">
                  <c:v>1.679</c:v>
                </c:pt>
                <c:pt idx="589">
                  <c:v>1.6859999999999999</c:v>
                </c:pt>
                <c:pt idx="590">
                  <c:v>1.6679999999999999</c:v>
                </c:pt>
                <c:pt idx="591">
                  <c:v>1.629</c:v>
                </c:pt>
                <c:pt idx="592">
                  <c:v>1.609</c:v>
                </c:pt>
                <c:pt idx="593">
                  <c:v>1.641</c:v>
                </c:pt>
                <c:pt idx="594">
                  <c:v>1.6519999999999999</c:v>
                </c:pt>
                <c:pt idx="595">
                  <c:v>1.702</c:v>
                </c:pt>
                <c:pt idx="596">
                  <c:v>1.7410000000000001</c:v>
                </c:pt>
                <c:pt idx="597">
                  <c:v>1.7230000000000001</c:v>
                </c:pt>
                <c:pt idx="598">
                  <c:v>1.679</c:v>
                </c:pt>
                <c:pt idx="599">
                  <c:v>1.71</c:v>
                </c:pt>
                <c:pt idx="600">
                  <c:v>1.7010000000000001</c:v>
                </c:pt>
                <c:pt idx="601">
                  <c:v>1.6970000000000001</c:v>
                </c:pt>
                <c:pt idx="602">
                  <c:v>1.6639999999999999</c:v>
                </c:pt>
                <c:pt idx="603">
                  <c:v>1.631</c:v>
                </c:pt>
                <c:pt idx="604">
                  <c:v>1.617</c:v>
                </c:pt>
                <c:pt idx="605">
                  <c:v>1.6040000000000001</c:v>
                </c:pt>
                <c:pt idx="606">
                  <c:v>1.5629999999999999</c:v>
                </c:pt>
                <c:pt idx="607">
                  <c:v>1.6240000000000001</c:v>
                </c:pt>
                <c:pt idx="608">
                  <c:v>1.645</c:v>
                </c:pt>
                <c:pt idx="609">
                  <c:v>1.627</c:v>
                </c:pt>
                <c:pt idx="610">
                  <c:v>1.617</c:v>
                </c:pt>
                <c:pt idx="611">
                  <c:v>1.603</c:v>
                </c:pt>
                <c:pt idx="612">
                  <c:v>1.6240000000000001</c:v>
                </c:pt>
                <c:pt idx="613">
                  <c:v>1.575</c:v>
                </c:pt>
                <c:pt idx="614">
                  <c:v>1.5509999999999999</c:v>
                </c:pt>
                <c:pt idx="615">
                  <c:v>1.5169999999999999</c:v>
                </c:pt>
                <c:pt idx="616">
                  <c:v>1.4350000000000001</c:v>
                </c:pt>
                <c:pt idx="617">
                  <c:v>1.4359999999999999</c:v>
                </c:pt>
                <c:pt idx="618">
                  <c:v>1.446</c:v>
                </c:pt>
                <c:pt idx="619">
                  <c:v>1.494</c:v>
                </c:pt>
                <c:pt idx="620">
                  <c:v>1.59</c:v>
                </c:pt>
                <c:pt idx="621">
                  <c:v>1.546</c:v>
                </c:pt>
                <c:pt idx="622">
                  <c:v>1.474</c:v>
                </c:pt>
                <c:pt idx="623">
                  <c:v>1.5449999999999999</c:v>
                </c:pt>
                <c:pt idx="624">
                  <c:v>1.5149999999999999</c:v>
                </c:pt>
                <c:pt idx="625">
                  <c:v>1.522</c:v>
                </c:pt>
                <c:pt idx="626">
                  <c:v>1.5189999999999999</c:v>
                </c:pt>
                <c:pt idx="627">
                  <c:v>1.5389999999999999</c:v>
                </c:pt>
                <c:pt idx="628">
                  <c:v>1.496</c:v>
                </c:pt>
                <c:pt idx="629">
                  <c:v>1.486</c:v>
                </c:pt>
                <c:pt idx="630">
                  <c:v>1.4770000000000001</c:v>
                </c:pt>
                <c:pt idx="631">
                  <c:v>1.4339999999999999</c:v>
                </c:pt>
                <c:pt idx="632">
                  <c:v>1.391</c:v>
                </c:pt>
                <c:pt idx="633">
                  <c:v>1.4279999999999999</c:v>
                </c:pt>
                <c:pt idx="634">
                  <c:v>1.351</c:v>
                </c:pt>
                <c:pt idx="635">
                  <c:v>1.282</c:v>
                </c:pt>
                <c:pt idx="636">
                  <c:v>1.323</c:v>
                </c:pt>
                <c:pt idx="637">
                  <c:v>1.2789999999999999</c:v>
                </c:pt>
                <c:pt idx="638">
                  <c:v>1.29</c:v>
                </c:pt>
                <c:pt idx="639">
                  <c:v>1.304</c:v>
                </c:pt>
                <c:pt idx="640">
                  <c:v>1.2529999999999999</c:v>
                </c:pt>
                <c:pt idx="641">
                  <c:v>1.248</c:v>
                </c:pt>
                <c:pt idx="642">
                  <c:v>1.2110000000000001</c:v>
                </c:pt>
                <c:pt idx="643">
                  <c:v>1.149</c:v>
                </c:pt>
                <c:pt idx="644">
                  <c:v>1.1279999999999999</c:v>
                </c:pt>
                <c:pt idx="645">
                  <c:v>1.1579999999999999</c:v>
                </c:pt>
                <c:pt idx="646">
                  <c:v>1.1639999999999999</c:v>
                </c:pt>
                <c:pt idx="647">
                  <c:v>1.1499999999999999</c:v>
                </c:pt>
                <c:pt idx="648">
                  <c:v>1.1759999999999999</c:v>
                </c:pt>
                <c:pt idx="649">
                  <c:v>1.1220000000000001</c:v>
                </c:pt>
                <c:pt idx="650">
                  <c:v>1.123</c:v>
                </c:pt>
                <c:pt idx="651">
                  <c:v>1.149</c:v>
                </c:pt>
                <c:pt idx="652">
                  <c:v>1.125</c:v>
                </c:pt>
                <c:pt idx="653">
                  <c:v>1.1160000000000001</c:v>
                </c:pt>
                <c:pt idx="654">
                  <c:v>1.127</c:v>
                </c:pt>
                <c:pt idx="655">
                  <c:v>1.163</c:v>
                </c:pt>
                <c:pt idx="656">
                  <c:v>1.177</c:v>
                </c:pt>
                <c:pt idx="657">
                  <c:v>1.1739999999999999</c:v>
                </c:pt>
                <c:pt idx="658">
                  <c:v>1.194</c:v>
                </c:pt>
                <c:pt idx="659">
                  <c:v>1.1599999999999999</c:v>
                </c:pt>
                <c:pt idx="660">
                  <c:v>1.19</c:v>
                </c:pt>
                <c:pt idx="661">
                  <c:v>1.1319999999999999</c:v>
                </c:pt>
                <c:pt idx="662">
                  <c:v>1.113</c:v>
                </c:pt>
                <c:pt idx="663">
                  <c:v>1.1140000000000001</c:v>
                </c:pt>
                <c:pt idx="664">
                  <c:v>1.0549999999999999</c:v>
                </c:pt>
                <c:pt idx="665">
                  <c:v>1.056</c:v>
                </c:pt>
                <c:pt idx="666">
                  <c:v>1.0720000000000001</c:v>
                </c:pt>
                <c:pt idx="667">
                  <c:v>1.1279999999999999</c:v>
                </c:pt>
                <c:pt idx="668">
                  <c:v>1.133</c:v>
                </c:pt>
                <c:pt idx="669">
                  <c:v>1.1639999999999999</c:v>
                </c:pt>
                <c:pt idx="670">
                  <c:v>1.1659999999999999</c:v>
                </c:pt>
                <c:pt idx="671">
                  <c:v>1.1359999999999999</c:v>
                </c:pt>
                <c:pt idx="672">
                  <c:v>1.1319999999999999</c:v>
                </c:pt>
                <c:pt idx="673">
                  <c:v>1.222</c:v>
                </c:pt>
                <c:pt idx="674">
                  <c:v>1.1830000000000001</c:v>
                </c:pt>
                <c:pt idx="675">
                  <c:v>1.2</c:v>
                </c:pt>
                <c:pt idx="676">
                  <c:v>1.236</c:v>
                </c:pt>
                <c:pt idx="677">
                  <c:v>1.236</c:v>
                </c:pt>
                <c:pt idx="678">
                  <c:v>1.278</c:v>
                </c:pt>
                <c:pt idx="679">
                  <c:v>1.25</c:v>
                </c:pt>
                <c:pt idx="680">
                  <c:v>1.2030000000000001</c:v>
                </c:pt>
                <c:pt idx="681">
                  <c:v>1.256</c:v>
                </c:pt>
                <c:pt idx="682">
                  <c:v>1.234</c:v>
                </c:pt>
                <c:pt idx="683">
                  <c:v>1.1890000000000001</c:v>
                </c:pt>
                <c:pt idx="684">
                  <c:v>1.244</c:v>
                </c:pt>
                <c:pt idx="685">
                  <c:v>1.284</c:v>
                </c:pt>
                <c:pt idx="686">
                  <c:v>1.2849999999999999</c:v>
                </c:pt>
                <c:pt idx="687">
                  <c:v>1.252</c:v>
                </c:pt>
                <c:pt idx="688">
                  <c:v>1.2370000000000001</c:v>
                </c:pt>
                <c:pt idx="689">
                  <c:v>1.2430000000000001</c:v>
                </c:pt>
                <c:pt idx="690">
                  <c:v>1.387</c:v>
                </c:pt>
                <c:pt idx="691">
                  <c:v>1.393</c:v>
                </c:pt>
                <c:pt idx="692">
                  <c:v>1.462</c:v>
                </c:pt>
                <c:pt idx="693">
                  <c:v>1.4670000000000001</c:v>
                </c:pt>
                <c:pt idx="694">
                  <c:v>1.4730000000000001</c:v>
                </c:pt>
                <c:pt idx="695">
                  <c:v>1.4730000000000001</c:v>
                </c:pt>
                <c:pt idx="696">
                  <c:v>1.4990000000000001</c:v>
                </c:pt>
                <c:pt idx="697">
                  <c:v>1.593</c:v>
                </c:pt>
                <c:pt idx="698">
                  <c:v>1.57</c:v>
                </c:pt>
                <c:pt idx="699">
                  <c:v>1.6240000000000001</c:v>
                </c:pt>
                <c:pt idx="700">
                  <c:v>1.704</c:v>
                </c:pt>
                <c:pt idx="701">
                  <c:v>1.71</c:v>
                </c:pt>
                <c:pt idx="702">
                  <c:v>1.6759999999999999</c:v>
                </c:pt>
                <c:pt idx="703">
                  <c:v>1.613</c:v>
                </c:pt>
                <c:pt idx="704">
                  <c:v>1.639</c:v>
                </c:pt>
                <c:pt idx="705">
                  <c:v>1.7330000000000001</c:v>
                </c:pt>
                <c:pt idx="706">
                  <c:v>1.714</c:v>
                </c:pt>
                <c:pt idx="707">
                  <c:v>1.7989999999999999</c:v>
                </c:pt>
                <c:pt idx="708">
                  <c:v>1.7789999999999999</c:v>
                </c:pt>
                <c:pt idx="709">
                  <c:v>1.79</c:v>
                </c:pt>
                <c:pt idx="710">
                  <c:v>1.7769999999999999</c:v>
                </c:pt>
                <c:pt idx="711">
                  <c:v>1.798</c:v>
                </c:pt>
                <c:pt idx="712">
                  <c:v>1.802</c:v>
                </c:pt>
                <c:pt idx="713">
                  <c:v>1.833</c:v>
                </c:pt>
                <c:pt idx="714">
                  <c:v>2.0830000000000002</c:v>
                </c:pt>
                <c:pt idx="715">
                  <c:v>1.9</c:v>
                </c:pt>
                <c:pt idx="716">
                  <c:v>1.885</c:v>
                </c:pt>
                <c:pt idx="717">
                  <c:v>1.8460000000000001</c:v>
                </c:pt>
                <c:pt idx="718">
                  <c:v>1.8260000000000001</c:v>
                </c:pt>
                <c:pt idx="719">
                  <c:v>1.806</c:v>
                </c:pt>
                <c:pt idx="720">
                  <c:v>1.7470000000000001</c:v>
                </c:pt>
                <c:pt idx="721">
                  <c:v>1.778</c:v>
                </c:pt>
                <c:pt idx="722">
                  <c:v>1.7290000000000001</c:v>
                </c:pt>
                <c:pt idx="723">
                  <c:v>1.8080000000000001</c:v>
                </c:pt>
                <c:pt idx="724">
                  <c:v>1.7909999999999999</c:v>
                </c:pt>
                <c:pt idx="725">
                  <c:v>1.766</c:v>
                </c:pt>
                <c:pt idx="726">
                  <c:v>1.831</c:v>
                </c:pt>
                <c:pt idx="727">
                  <c:v>1.8580000000000001</c:v>
                </c:pt>
                <c:pt idx="728">
                  <c:v>1.7929999999999999</c:v>
                </c:pt>
                <c:pt idx="729">
                  <c:v>1.8089999999999999</c:v>
                </c:pt>
                <c:pt idx="730">
                  <c:v>1.79</c:v>
                </c:pt>
                <c:pt idx="731">
                  <c:v>1.867</c:v>
                </c:pt>
                <c:pt idx="732">
                  <c:v>1.857</c:v>
                </c:pt>
                <c:pt idx="733">
                  <c:v>1.8680000000000001</c:v>
                </c:pt>
                <c:pt idx="734">
                  <c:v>1.736</c:v>
                </c:pt>
                <c:pt idx="735">
                  <c:v>1.7430000000000001</c:v>
                </c:pt>
                <c:pt idx="736">
                  <c:v>1.6890000000000001</c:v>
                </c:pt>
                <c:pt idx="737">
                  <c:v>1.728</c:v>
                </c:pt>
                <c:pt idx="738">
                  <c:v>1.68</c:v>
                </c:pt>
                <c:pt idx="739">
                  <c:v>1.61</c:v>
                </c:pt>
                <c:pt idx="740">
                  <c:v>1.5820000000000001</c:v>
                </c:pt>
                <c:pt idx="741">
                  <c:v>1.6479999999999999</c:v>
                </c:pt>
                <c:pt idx="742">
                  <c:v>1.621</c:v>
                </c:pt>
                <c:pt idx="743">
                  <c:v>1.679</c:v>
                </c:pt>
                <c:pt idx="744">
                  <c:v>1.637</c:v>
                </c:pt>
                <c:pt idx="745">
                  <c:v>1.605</c:v>
                </c:pt>
                <c:pt idx="746">
                  <c:v>1.5449999999999999</c:v>
                </c:pt>
                <c:pt idx="747">
                  <c:v>1.5629999999999999</c:v>
                </c:pt>
                <c:pt idx="748">
                  <c:v>1.569</c:v>
                </c:pt>
                <c:pt idx="749">
                  <c:v>1.5880000000000001</c:v>
                </c:pt>
                <c:pt idx="750">
                  <c:v>1.542</c:v>
                </c:pt>
                <c:pt idx="751">
                  <c:v>1.601</c:v>
                </c:pt>
                <c:pt idx="752">
                  <c:v>1.585</c:v>
                </c:pt>
                <c:pt idx="753">
                  <c:v>1.591</c:v>
                </c:pt>
                <c:pt idx="754">
                  <c:v>1.5780000000000001</c:v>
                </c:pt>
                <c:pt idx="755">
                  <c:v>1.534</c:v>
                </c:pt>
                <c:pt idx="756">
                  <c:v>1.631</c:v>
                </c:pt>
                <c:pt idx="757">
                  <c:v>1.6659999999999999</c:v>
                </c:pt>
                <c:pt idx="758">
                  <c:v>1.732</c:v>
                </c:pt>
                <c:pt idx="759">
                  <c:v>1.768</c:v>
                </c:pt>
                <c:pt idx="760">
                  <c:v>1.849</c:v>
                </c:pt>
                <c:pt idx="761">
                  <c:v>1.8380000000000001</c:v>
                </c:pt>
                <c:pt idx="762">
                  <c:v>1.905</c:v>
                </c:pt>
                <c:pt idx="763">
                  <c:v>1.881</c:v>
                </c:pt>
                <c:pt idx="764">
                  <c:v>1.835</c:v>
                </c:pt>
                <c:pt idx="765">
                  <c:v>1.8460000000000001</c:v>
                </c:pt>
                <c:pt idx="766">
                  <c:v>1.837</c:v>
                </c:pt>
                <c:pt idx="767">
                  <c:v>1.903</c:v>
                </c:pt>
                <c:pt idx="768">
                  <c:v>1.9330000000000001</c:v>
                </c:pt>
                <c:pt idx="769">
                  <c:v>1.9830000000000001</c:v>
                </c:pt>
                <c:pt idx="770">
                  <c:v>1.9790000000000001</c:v>
                </c:pt>
                <c:pt idx="771">
                  <c:v>1.905</c:v>
                </c:pt>
                <c:pt idx="772">
                  <c:v>1.9219999999999999</c:v>
                </c:pt>
                <c:pt idx="773">
                  <c:v>1.93</c:v>
                </c:pt>
                <c:pt idx="774">
                  <c:v>2.0099999999999998</c:v>
                </c:pt>
                <c:pt idx="775">
                  <c:v>1.9279999999999999</c:v>
                </c:pt>
                <c:pt idx="776">
                  <c:v>1.8839999999999999</c:v>
                </c:pt>
                <c:pt idx="777">
                  <c:v>1.89</c:v>
                </c:pt>
                <c:pt idx="778">
                  <c:v>1.9</c:v>
                </c:pt>
                <c:pt idx="779">
                  <c:v>1.857</c:v>
                </c:pt>
                <c:pt idx="780">
                  <c:v>1.948</c:v>
                </c:pt>
                <c:pt idx="781">
                  <c:v>1.984</c:v>
                </c:pt>
                <c:pt idx="782">
                  <c:v>2.109</c:v>
                </c:pt>
                <c:pt idx="783">
                  <c:v>2.0939999999999999</c:v>
                </c:pt>
                <c:pt idx="784">
                  <c:v>2.097</c:v>
                </c:pt>
                <c:pt idx="785">
                  <c:v>2.202</c:v>
                </c:pt>
                <c:pt idx="786">
                  <c:v>2.1280000000000001</c:v>
                </c:pt>
                <c:pt idx="787">
                  <c:v>2.1789999999999998</c:v>
                </c:pt>
                <c:pt idx="788">
                  <c:v>2.2240000000000002</c:v>
                </c:pt>
                <c:pt idx="789">
                  <c:v>2.2000000000000002</c:v>
                </c:pt>
                <c:pt idx="790">
                  <c:v>2.2410000000000001</c:v>
                </c:pt>
                <c:pt idx="791">
                  <c:v>2.2120000000000002</c:v>
                </c:pt>
                <c:pt idx="792">
                  <c:v>2.194</c:v>
                </c:pt>
                <c:pt idx="793">
                  <c:v>2.2629999999999999</c:v>
                </c:pt>
                <c:pt idx="794">
                  <c:v>2.15</c:v>
                </c:pt>
                <c:pt idx="795">
                  <c:v>2.226</c:v>
                </c:pt>
                <c:pt idx="796">
                  <c:v>2.1309999999999998</c:v>
                </c:pt>
                <c:pt idx="797">
                  <c:v>2.1819999999999999</c:v>
                </c:pt>
                <c:pt idx="798">
                  <c:v>2.0680000000000001</c:v>
                </c:pt>
                <c:pt idx="799">
                  <c:v>2.1589999999999998</c:v>
                </c:pt>
                <c:pt idx="800">
                  <c:v>2.1440000000000001</c:v>
                </c:pt>
                <c:pt idx="801">
                  <c:v>2.129</c:v>
                </c:pt>
                <c:pt idx="802">
                  <c:v>2.2269999999999999</c:v>
                </c:pt>
                <c:pt idx="803">
                  <c:v>2.3119999999999998</c:v>
                </c:pt>
                <c:pt idx="804">
                  <c:v>2.3610000000000002</c:v>
                </c:pt>
                <c:pt idx="805">
                  <c:v>2.3929999999999998</c:v>
                </c:pt>
                <c:pt idx="806">
                  <c:v>2.4510000000000001</c:v>
                </c:pt>
                <c:pt idx="807">
                  <c:v>2.5110000000000001</c:v>
                </c:pt>
                <c:pt idx="808">
                  <c:v>2.488</c:v>
                </c:pt>
                <c:pt idx="809">
                  <c:v>2.5</c:v>
                </c:pt>
                <c:pt idx="810">
                  <c:v>2.57</c:v>
                </c:pt>
                <c:pt idx="811">
                  <c:v>2.5760000000000001</c:v>
                </c:pt>
                <c:pt idx="812">
                  <c:v>2.714</c:v>
                </c:pt>
                <c:pt idx="813">
                  <c:v>2.7690000000000001</c:v>
                </c:pt>
                <c:pt idx="814">
                  <c:v>2.76</c:v>
                </c:pt>
                <c:pt idx="815">
                  <c:v>2.7709999999999999</c:v>
                </c:pt>
                <c:pt idx="816">
                  <c:v>2.8959999999999999</c:v>
                </c:pt>
                <c:pt idx="817">
                  <c:v>2.891</c:v>
                </c:pt>
                <c:pt idx="818">
                  <c:v>2.7879999999999998</c:v>
                </c:pt>
                <c:pt idx="819">
                  <c:v>2.8359999999999999</c:v>
                </c:pt>
                <c:pt idx="820">
                  <c:v>2.8220000000000001</c:v>
                </c:pt>
                <c:pt idx="821">
                  <c:v>2.8279999999999998</c:v>
                </c:pt>
                <c:pt idx="822">
                  <c:v>2.8530000000000002</c:v>
                </c:pt>
                <c:pt idx="823">
                  <c:v>2.9279999999999999</c:v>
                </c:pt>
                <c:pt idx="824">
                  <c:v>2.9089999999999998</c:v>
                </c:pt>
                <c:pt idx="825">
                  <c:v>2.9590000000000001</c:v>
                </c:pt>
                <c:pt idx="826">
                  <c:v>3.004</c:v>
                </c:pt>
                <c:pt idx="827">
                  <c:v>3.0779999999999998</c:v>
                </c:pt>
                <c:pt idx="828">
                  <c:v>3.069</c:v>
                </c:pt>
                <c:pt idx="829">
                  <c:v>2.9670000000000001</c:v>
                </c:pt>
                <c:pt idx="830">
                  <c:v>3.0619999999999998</c:v>
                </c:pt>
                <c:pt idx="831">
                  <c:v>3.1070000000000002</c:v>
                </c:pt>
                <c:pt idx="832">
                  <c:v>3.0790000000000002</c:v>
                </c:pt>
                <c:pt idx="833">
                  <c:v>3.1259999999999999</c:v>
                </c:pt>
                <c:pt idx="834">
                  <c:v>3.1019999999999999</c:v>
                </c:pt>
                <c:pt idx="835">
                  <c:v>3.0529999999999999</c:v>
                </c:pt>
                <c:pt idx="836">
                  <c:v>3.0790000000000002</c:v>
                </c:pt>
                <c:pt idx="837">
                  <c:v>3.1190000000000002</c:v>
                </c:pt>
                <c:pt idx="838">
                  <c:v>3.2589999999999999</c:v>
                </c:pt>
                <c:pt idx="839">
                  <c:v>3.3940000000000001</c:v>
                </c:pt>
                <c:pt idx="840">
                  <c:v>3.5390000000000001</c:v>
                </c:pt>
                <c:pt idx="841">
                  <c:v>3.387</c:v>
                </c:pt>
                <c:pt idx="842">
                  <c:v>3.4670000000000001</c:v>
                </c:pt>
                <c:pt idx="843">
                  <c:v>3.5619999999999998</c:v>
                </c:pt>
                <c:pt idx="844">
                  <c:v>3.5630000000000002</c:v>
                </c:pt>
                <c:pt idx="845">
                  <c:v>3.5030000000000001</c:v>
                </c:pt>
                <c:pt idx="846">
                  <c:v>3.4249999999999998</c:v>
                </c:pt>
                <c:pt idx="847">
                  <c:v>3.4009999999999998</c:v>
                </c:pt>
                <c:pt idx="848">
                  <c:v>3.3839999999999999</c:v>
                </c:pt>
                <c:pt idx="849">
                  <c:v>3.4039999999999999</c:v>
                </c:pt>
                <c:pt idx="850">
                  <c:v>3.4590000000000001</c:v>
                </c:pt>
                <c:pt idx="851">
                  <c:v>3.383</c:v>
                </c:pt>
                <c:pt idx="852">
                  <c:v>3.31</c:v>
                </c:pt>
                <c:pt idx="853">
                  <c:v>3.3260000000000001</c:v>
                </c:pt>
                <c:pt idx="854">
                  <c:v>3.3170000000000002</c:v>
                </c:pt>
                <c:pt idx="855">
                  <c:v>3.24</c:v>
                </c:pt>
                <c:pt idx="856">
                  <c:v>3.202</c:v>
                </c:pt>
                <c:pt idx="857">
                  <c:v>3.2530000000000001</c:v>
                </c:pt>
                <c:pt idx="858">
                  <c:v>3.254</c:v>
                </c:pt>
                <c:pt idx="859">
                  <c:v>3.3519999999999999</c:v>
                </c:pt>
                <c:pt idx="860">
                  <c:v>3.4169999999999998</c:v>
                </c:pt>
                <c:pt idx="861">
                  <c:v>3.4980000000000002</c:v>
                </c:pt>
                <c:pt idx="862">
                  <c:v>3.4830000000000001</c:v>
                </c:pt>
                <c:pt idx="863">
                  <c:v>3.484</c:v>
                </c:pt>
                <c:pt idx="864">
                  <c:v>3.5550000000000002</c:v>
                </c:pt>
                <c:pt idx="865">
                  <c:v>3.5449999999999999</c:v>
                </c:pt>
                <c:pt idx="866">
                  <c:v>3.6070000000000002</c:v>
                </c:pt>
                <c:pt idx="867">
                  <c:v>3.6739999999999999</c:v>
                </c:pt>
                <c:pt idx="868">
                  <c:v>3.9569999999999999</c:v>
                </c:pt>
                <c:pt idx="869">
                  <c:v>4.2</c:v>
                </c:pt>
                <c:pt idx="870">
                  <c:v>3.9929999999999999</c:v>
                </c:pt>
                <c:pt idx="871">
                  <c:v>4.1280000000000001</c:v>
                </c:pt>
                <c:pt idx="872">
                  <c:v>4.0659999999999998</c:v>
                </c:pt>
                <c:pt idx="873">
                  <c:v>4.0650000000000004</c:v>
                </c:pt>
                <c:pt idx="874">
                  <c:v>3.988</c:v>
                </c:pt>
                <c:pt idx="875">
                  <c:v>3.855</c:v>
                </c:pt>
                <c:pt idx="876">
                  <c:v>3.7210000000000001</c:v>
                </c:pt>
                <c:pt idx="877">
                  <c:v>3.778</c:v>
                </c:pt>
                <c:pt idx="878">
                  <c:v>3.7440000000000002</c:v>
                </c:pt>
                <c:pt idx="879">
                  <c:v>3.6949999999999998</c:v>
                </c:pt>
                <c:pt idx="880">
                  <c:v>3.6619999999999999</c:v>
                </c:pt>
                <c:pt idx="881">
                  <c:v>3.597</c:v>
                </c:pt>
                <c:pt idx="882">
                  <c:v>3.5649999999999999</c:v>
                </c:pt>
                <c:pt idx="883">
                  <c:v>3.5529999999999999</c:v>
                </c:pt>
                <c:pt idx="884">
                  <c:v>3.4089999999999998</c:v>
                </c:pt>
                <c:pt idx="885">
                  <c:v>3.4729999999999999</c:v>
                </c:pt>
                <c:pt idx="886">
                  <c:v>3.484</c:v>
                </c:pt>
                <c:pt idx="887">
                  <c:v>3.5150000000000001</c:v>
                </c:pt>
                <c:pt idx="888">
                  <c:v>3.4209999999999998</c:v>
                </c:pt>
                <c:pt idx="889">
                  <c:v>3.3929999999999998</c:v>
                </c:pt>
                <c:pt idx="890">
                  <c:v>3.4159999999999999</c:v>
                </c:pt>
                <c:pt idx="891">
                  <c:v>3.4129999999999998</c:v>
                </c:pt>
                <c:pt idx="892">
                  <c:v>3.4420000000000002</c:v>
                </c:pt>
                <c:pt idx="893">
                  <c:v>3.5169999999999999</c:v>
                </c:pt>
                <c:pt idx="894">
                  <c:v>3.5510000000000002</c:v>
                </c:pt>
                <c:pt idx="895">
                  <c:v>3.5779999999999998</c:v>
                </c:pt>
                <c:pt idx="896">
                  <c:v>3.4460000000000002</c:v>
                </c:pt>
                <c:pt idx="897">
                  <c:v>3.359</c:v>
                </c:pt>
                <c:pt idx="898">
                  <c:v>3.3460000000000001</c:v>
                </c:pt>
                <c:pt idx="899">
                  <c:v>3.2530000000000001</c:v>
                </c:pt>
                <c:pt idx="900">
                  <c:v>3.2109999999999999</c:v>
                </c:pt>
                <c:pt idx="901">
                  <c:v>3.0630000000000002</c:v>
                </c:pt>
                <c:pt idx="902">
                  <c:v>3.0840000000000001</c:v>
                </c:pt>
                <c:pt idx="903">
                  <c:v>2.9849999999999999</c:v>
                </c:pt>
                <c:pt idx="904">
                  <c:v>3.08</c:v>
                </c:pt>
                <c:pt idx="905">
                  <c:v>3.1509999999999998</c:v>
                </c:pt>
                <c:pt idx="906">
                  <c:v>3.0910000000000002</c:v>
                </c:pt>
                <c:pt idx="907">
                  <c:v>3.2210000000000001</c:v>
                </c:pt>
                <c:pt idx="908">
                  <c:v>3.1920000000000002</c:v>
                </c:pt>
                <c:pt idx="909">
                  <c:v>3.2509999999999999</c:v>
                </c:pt>
                <c:pt idx="910">
                  <c:v>3.2959999999999998</c:v>
                </c:pt>
                <c:pt idx="911">
                  <c:v>3.4350000000000001</c:v>
                </c:pt>
                <c:pt idx="912">
                  <c:v>3.371</c:v>
                </c:pt>
                <c:pt idx="913">
                  <c:v>3.2320000000000002</c:v>
                </c:pt>
                <c:pt idx="914">
                  <c:v>3.278</c:v>
                </c:pt>
                <c:pt idx="915">
                  <c:v>3.3410000000000002</c:v>
                </c:pt>
                <c:pt idx="916">
                  <c:v>3.41</c:v>
                </c:pt>
                <c:pt idx="917">
                  <c:v>3.5249999999999999</c:v>
                </c:pt>
                <c:pt idx="918">
                  <c:v>3.5840000000000001</c:v>
                </c:pt>
                <c:pt idx="919">
                  <c:v>3.6339999999999999</c:v>
                </c:pt>
                <c:pt idx="920">
                  <c:v>3.681</c:v>
                </c:pt>
                <c:pt idx="921">
                  <c:v>3.581</c:v>
                </c:pt>
                <c:pt idx="922">
                  <c:v>3.6720000000000002</c:v>
                </c:pt>
                <c:pt idx="923">
                  <c:v>3.61</c:v>
                </c:pt>
                <c:pt idx="924">
                  <c:v>3.605</c:v>
                </c:pt>
                <c:pt idx="925">
                  <c:v>3.6890000000000001</c:v>
                </c:pt>
                <c:pt idx="926">
                  <c:v>3.66</c:v>
                </c:pt>
                <c:pt idx="927">
                  <c:v>3.6539999999999999</c:v>
                </c:pt>
                <c:pt idx="928">
                  <c:v>3.6539999999999999</c:v>
                </c:pt>
                <c:pt idx="929">
                  <c:v>3.71</c:v>
                </c:pt>
                <c:pt idx="930">
                  <c:v>3.573</c:v>
                </c:pt>
                <c:pt idx="931">
                  <c:v>3.5680000000000001</c:v>
                </c:pt>
                <c:pt idx="932">
                  <c:v>3.64</c:v>
                </c:pt>
                <c:pt idx="933">
                  <c:v>3.5779999999999998</c:v>
                </c:pt>
                <c:pt idx="934">
                  <c:v>3.6459999999999999</c:v>
                </c:pt>
                <c:pt idx="935">
                  <c:v>3.6920000000000002</c:v>
                </c:pt>
                <c:pt idx="936">
                  <c:v>3.7290000000000001</c:v>
                </c:pt>
                <c:pt idx="937">
                  <c:v>3.6850000000000001</c:v>
                </c:pt>
                <c:pt idx="938">
                  <c:v>3.6419999999999999</c:v>
                </c:pt>
                <c:pt idx="939">
                  <c:v>3.677</c:v>
                </c:pt>
                <c:pt idx="940">
                  <c:v>3.919</c:v>
                </c:pt>
                <c:pt idx="941">
                  <c:v>3.9929999999999999</c:v>
                </c:pt>
                <c:pt idx="942">
                  <c:v>4.032</c:v>
                </c:pt>
                <c:pt idx="943">
                  <c:v>4.1020000000000003</c:v>
                </c:pt>
                <c:pt idx="944">
                  <c:v>3.9460000000000002</c:v>
                </c:pt>
                <c:pt idx="945">
                  <c:v>3.8919999999999999</c:v>
                </c:pt>
                <c:pt idx="946">
                  <c:v>3.726</c:v>
                </c:pt>
                <c:pt idx="947">
                  <c:v>3.6309999999999998</c:v>
                </c:pt>
                <c:pt idx="948">
                  <c:v>3.7690000000000001</c:v>
                </c:pt>
                <c:pt idx="949">
                  <c:v>3.8439999999999999</c:v>
                </c:pt>
                <c:pt idx="950">
                  <c:v>3.863</c:v>
                </c:pt>
                <c:pt idx="951">
                  <c:v>4.032</c:v>
                </c:pt>
                <c:pt idx="952">
                  <c:v>3.9430000000000001</c:v>
                </c:pt>
                <c:pt idx="953">
                  <c:v>3.9990000000000001</c:v>
                </c:pt>
                <c:pt idx="954">
                  <c:v>4.0030000000000001</c:v>
                </c:pt>
                <c:pt idx="955">
                  <c:v>4.0179999999999998</c:v>
                </c:pt>
                <c:pt idx="956">
                  <c:v>3.915</c:v>
                </c:pt>
                <c:pt idx="957">
                  <c:v>3.9409999999999998</c:v>
                </c:pt>
                <c:pt idx="958">
                  <c:v>4.0549999999999997</c:v>
                </c:pt>
                <c:pt idx="959">
                  <c:v>4.1950000000000003</c:v>
                </c:pt>
                <c:pt idx="960">
                  <c:v>4.1459999999999999</c:v>
                </c:pt>
                <c:pt idx="961">
                  <c:v>4.0720000000000001</c:v>
                </c:pt>
                <c:pt idx="962">
                  <c:v>3.915</c:v>
                </c:pt>
                <c:pt idx="963">
                  <c:v>3.827</c:v>
                </c:pt>
                <c:pt idx="964">
                  <c:v>3.7309999999999999</c:v>
                </c:pt>
                <c:pt idx="965">
                  <c:v>3.7509999999999999</c:v>
                </c:pt>
                <c:pt idx="966">
                  <c:v>3.76</c:v>
                </c:pt>
                <c:pt idx="967">
                  <c:v>3.806</c:v>
                </c:pt>
                <c:pt idx="968">
                  <c:v>3.9159999999999999</c:v>
                </c:pt>
                <c:pt idx="969">
                  <c:v>3.8460000000000001</c:v>
                </c:pt>
                <c:pt idx="970">
                  <c:v>3.903</c:v>
                </c:pt>
                <c:pt idx="971">
                  <c:v>4.0330000000000004</c:v>
                </c:pt>
                <c:pt idx="972">
                  <c:v>3.863</c:v>
                </c:pt>
                <c:pt idx="973">
                  <c:v>3.7160000000000002</c:v>
                </c:pt>
                <c:pt idx="974">
                  <c:v>3.6539999999999999</c:v>
                </c:pt>
                <c:pt idx="975">
                  <c:v>3.7629999999999999</c:v>
                </c:pt>
                <c:pt idx="976">
                  <c:v>3.7570000000000001</c:v>
                </c:pt>
                <c:pt idx="977">
                  <c:v>3.7229999999999999</c:v>
                </c:pt>
                <c:pt idx="978">
                  <c:v>3.6150000000000002</c:v>
                </c:pt>
                <c:pt idx="979">
                  <c:v>3.61</c:v>
                </c:pt>
                <c:pt idx="980">
                  <c:v>3.56</c:v>
                </c:pt>
                <c:pt idx="981">
                  <c:v>3.5670000000000002</c:v>
                </c:pt>
                <c:pt idx="982">
                  <c:v>3.5659999999999998</c:v>
                </c:pt>
                <c:pt idx="983">
                  <c:v>3.5219999999999998</c:v>
                </c:pt>
                <c:pt idx="984">
                  <c:v>3.552</c:v>
                </c:pt>
                <c:pt idx="985">
                  <c:v>3.492</c:v>
                </c:pt>
                <c:pt idx="986">
                  <c:v>3.5819999999999999</c:v>
                </c:pt>
                <c:pt idx="987">
                  <c:v>3.508</c:v>
                </c:pt>
                <c:pt idx="988">
                  <c:v>3.4590000000000001</c:v>
                </c:pt>
                <c:pt idx="989">
                  <c:v>3.37</c:v>
                </c:pt>
                <c:pt idx="990">
                  <c:v>3.3450000000000002</c:v>
                </c:pt>
                <c:pt idx="991">
                  <c:v>3.3769999999999998</c:v>
                </c:pt>
                <c:pt idx="992">
                  <c:v>3.3359999999999999</c:v>
                </c:pt>
                <c:pt idx="993">
                  <c:v>3.3460000000000001</c:v>
                </c:pt>
                <c:pt idx="994">
                  <c:v>3.2759999999999998</c:v>
                </c:pt>
                <c:pt idx="995">
                  <c:v>3.3620000000000001</c:v>
                </c:pt>
                <c:pt idx="996">
                  <c:v>3.3820000000000001</c:v>
                </c:pt>
                <c:pt idx="997">
                  <c:v>3.3439999999999999</c:v>
                </c:pt>
                <c:pt idx="998">
                  <c:v>3.4380000000000002</c:v>
                </c:pt>
                <c:pt idx="999">
                  <c:v>3.4359999999999999</c:v>
                </c:pt>
                <c:pt idx="1000">
                  <c:v>3.5139999999999998</c:v>
                </c:pt>
                <c:pt idx="1001">
                  <c:v>3.7069999999999999</c:v>
                </c:pt>
                <c:pt idx="1002">
                  <c:v>3.7040000000000002</c:v>
                </c:pt>
                <c:pt idx="1003">
                  <c:v>3.7749999999999999</c:v>
                </c:pt>
                <c:pt idx="1004">
                  <c:v>3.8050000000000002</c:v>
                </c:pt>
                <c:pt idx="1005">
                  <c:v>4.0140000000000002</c:v>
                </c:pt>
                <c:pt idx="1006">
                  <c:v>4.0039999999999996</c:v>
                </c:pt>
                <c:pt idx="1007">
                  <c:v>4.0289999999999999</c:v>
                </c:pt>
                <c:pt idx="1008">
                  <c:v>3.98</c:v>
                </c:pt>
                <c:pt idx="1009">
                  <c:v>3.883</c:v>
                </c:pt>
                <c:pt idx="1010">
                  <c:v>3.8149999999999999</c:v>
                </c:pt>
                <c:pt idx="1011">
                  <c:v>3.7989999999999999</c:v>
                </c:pt>
                <c:pt idx="1012">
                  <c:v>3.702</c:v>
                </c:pt>
                <c:pt idx="1013">
                  <c:v>3.6970000000000001</c:v>
                </c:pt>
                <c:pt idx="1014">
                  <c:v>3.698</c:v>
                </c:pt>
                <c:pt idx="1015">
                  <c:v>3.5760000000000001</c:v>
                </c:pt>
                <c:pt idx="1016">
                  <c:v>3.5739999999999998</c:v>
                </c:pt>
                <c:pt idx="1017">
                  <c:v>3.577</c:v>
                </c:pt>
                <c:pt idx="1018">
                  <c:v>3.5880000000000001</c:v>
                </c:pt>
                <c:pt idx="1019">
                  <c:v>3.5289999999999999</c:v>
                </c:pt>
                <c:pt idx="1020">
                  <c:v>3.306</c:v>
                </c:pt>
                <c:pt idx="1021">
                  <c:v>3.3809999999999998</c:v>
                </c:pt>
                <c:pt idx="1022">
                  <c:v>3.4340000000000002</c:v>
                </c:pt>
                <c:pt idx="1023">
                  <c:v>3.448</c:v>
                </c:pt>
                <c:pt idx="1024">
                  <c:v>3.49</c:v>
                </c:pt>
                <c:pt idx="1025">
                  <c:v>3.5430000000000001</c:v>
                </c:pt>
                <c:pt idx="1026">
                  <c:v>3.52</c:v>
                </c:pt>
                <c:pt idx="1027">
                  <c:v>3.5350000000000001</c:v>
                </c:pt>
                <c:pt idx="1028">
                  <c:v>3.5550000000000002</c:v>
                </c:pt>
                <c:pt idx="1029">
                  <c:v>3.5259999999999998</c:v>
                </c:pt>
                <c:pt idx="1030">
                  <c:v>3.3679999999999999</c:v>
                </c:pt>
                <c:pt idx="1031">
                  <c:v>3.4460000000000002</c:v>
                </c:pt>
                <c:pt idx="1032">
                  <c:v>3.581</c:v>
                </c:pt>
                <c:pt idx="1033">
                  <c:v>3.6</c:v>
                </c:pt>
                <c:pt idx="1034">
                  <c:v>3.657</c:v>
                </c:pt>
                <c:pt idx="1035">
                  <c:v>3.6960000000000002</c:v>
                </c:pt>
                <c:pt idx="1036">
                  <c:v>3.7469999999999999</c:v>
                </c:pt>
                <c:pt idx="1037">
                  <c:v>3.7269999999999999</c:v>
                </c:pt>
                <c:pt idx="1038">
                  <c:v>3.726</c:v>
                </c:pt>
                <c:pt idx="1039">
                  <c:v>3.7469999999999999</c:v>
                </c:pt>
                <c:pt idx="1040">
                  <c:v>3.8079999999999998</c:v>
                </c:pt>
                <c:pt idx="1041">
                  <c:v>3.7989999999999999</c:v>
                </c:pt>
                <c:pt idx="1042">
                  <c:v>3.8039999999999998</c:v>
                </c:pt>
                <c:pt idx="1043">
                  <c:v>3.863</c:v>
                </c:pt>
                <c:pt idx="1044">
                  <c:v>3.875</c:v>
                </c:pt>
                <c:pt idx="1045">
                  <c:v>3.8149999999999999</c:v>
                </c:pt>
                <c:pt idx="1046">
                  <c:v>3.8650000000000002</c:v>
                </c:pt>
                <c:pt idx="1047">
                  <c:v>3.8410000000000002</c:v>
                </c:pt>
                <c:pt idx="1048">
                  <c:v>3.7770000000000001</c:v>
                </c:pt>
                <c:pt idx="1049">
                  <c:v>3.8519999999999999</c:v>
                </c:pt>
                <c:pt idx="1050">
                  <c:v>3.8940000000000001</c:v>
                </c:pt>
                <c:pt idx="1051">
                  <c:v>3.7570000000000001</c:v>
                </c:pt>
                <c:pt idx="1052">
                  <c:v>3.677</c:v>
                </c:pt>
                <c:pt idx="1053">
                  <c:v>3.738</c:v>
                </c:pt>
                <c:pt idx="1054">
                  <c:v>3.7040000000000002</c:v>
                </c:pt>
                <c:pt idx="1055">
                  <c:v>3.577</c:v>
                </c:pt>
                <c:pt idx="1056">
                  <c:v>3.5139999999999998</c:v>
                </c:pt>
                <c:pt idx="1057">
                  <c:v>3.444</c:v>
                </c:pt>
                <c:pt idx="1058">
                  <c:v>3.4289999999999998</c:v>
                </c:pt>
                <c:pt idx="1059">
                  <c:v>3.327</c:v>
                </c:pt>
                <c:pt idx="1060">
                  <c:v>3.387</c:v>
                </c:pt>
                <c:pt idx="1061">
                  <c:v>3.234</c:v>
                </c:pt>
                <c:pt idx="1062">
                  <c:v>3.1840000000000002</c:v>
                </c:pt>
                <c:pt idx="1063">
                  <c:v>3.359</c:v>
                </c:pt>
                <c:pt idx="1064">
                  <c:v>3.2850000000000001</c:v>
                </c:pt>
                <c:pt idx="1065">
                  <c:v>3.2130000000000001</c:v>
                </c:pt>
                <c:pt idx="1066">
                  <c:v>3.1880000000000002</c:v>
                </c:pt>
                <c:pt idx="1067">
                  <c:v>3.2919999999999998</c:v>
                </c:pt>
                <c:pt idx="1068">
                  <c:v>3.278</c:v>
                </c:pt>
                <c:pt idx="1069">
                  <c:v>3.3519999999999999</c:v>
                </c:pt>
                <c:pt idx="1070">
                  <c:v>3.2930000000000001</c:v>
                </c:pt>
                <c:pt idx="1071">
                  <c:v>3.319</c:v>
                </c:pt>
                <c:pt idx="1072">
                  <c:v>3.2549999999999999</c:v>
                </c:pt>
                <c:pt idx="1073">
                  <c:v>3.2749999999999999</c:v>
                </c:pt>
                <c:pt idx="1074">
                  <c:v>3.181</c:v>
                </c:pt>
                <c:pt idx="1075">
                  <c:v>3.2210000000000001</c:v>
                </c:pt>
                <c:pt idx="1076">
                  <c:v>3.24</c:v>
                </c:pt>
                <c:pt idx="1077">
                  <c:v>3.27</c:v>
                </c:pt>
                <c:pt idx="1078">
                  <c:v>3.319</c:v>
                </c:pt>
                <c:pt idx="1079">
                  <c:v>3.367</c:v>
                </c:pt>
                <c:pt idx="1080">
                  <c:v>3.4689999999999999</c:v>
                </c:pt>
                <c:pt idx="1081">
                  <c:v>3.5089999999999999</c:v>
                </c:pt>
                <c:pt idx="1082">
                  <c:v>3.4950000000000001</c:v>
                </c:pt>
                <c:pt idx="1083">
                  <c:v>3.4620000000000002</c:v>
                </c:pt>
                <c:pt idx="1084">
                  <c:v>3.4460000000000002</c:v>
                </c:pt>
                <c:pt idx="1085">
                  <c:v>3.302</c:v>
                </c:pt>
                <c:pt idx="1086">
                  <c:v>3.3660000000000001</c:v>
                </c:pt>
                <c:pt idx="1087">
                  <c:v>3.335</c:v>
                </c:pt>
                <c:pt idx="1088">
                  <c:v>3.351</c:v>
                </c:pt>
                <c:pt idx="1089">
                  <c:v>3.4420000000000002</c:v>
                </c:pt>
                <c:pt idx="1090">
                  <c:v>3.4079999999999999</c:v>
                </c:pt>
                <c:pt idx="1091">
                  <c:v>3.3029999999999999</c:v>
                </c:pt>
                <c:pt idx="1092">
                  <c:v>3.3180000000000001</c:v>
                </c:pt>
                <c:pt idx="1093">
                  <c:v>3.3980000000000001</c:v>
                </c:pt>
                <c:pt idx="1094">
                  <c:v>3.448</c:v>
                </c:pt>
                <c:pt idx="1095">
                  <c:v>3.452</c:v>
                </c:pt>
                <c:pt idx="1096">
                  <c:v>3.3879999999999999</c:v>
                </c:pt>
                <c:pt idx="1097">
                  <c:v>3.3239999999999998</c:v>
                </c:pt>
                <c:pt idx="1098">
                  <c:v>3.4289999999999998</c:v>
                </c:pt>
                <c:pt idx="1099">
                  <c:v>3.4089999999999998</c:v>
                </c:pt>
                <c:pt idx="1100">
                  <c:v>3.4289999999999998</c:v>
                </c:pt>
                <c:pt idx="1101">
                  <c:v>3.488</c:v>
                </c:pt>
                <c:pt idx="1102">
                  <c:v>3.593</c:v>
                </c:pt>
                <c:pt idx="1103">
                  <c:v>3.5870000000000002</c:v>
                </c:pt>
                <c:pt idx="1104">
                  <c:v>3.6520000000000001</c:v>
                </c:pt>
                <c:pt idx="1105">
                  <c:v>3.6480000000000001</c:v>
                </c:pt>
                <c:pt idx="1106">
                  <c:v>3.702</c:v>
                </c:pt>
                <c:pt idx="1107">
                  <c:v>3.7320000000000002</c:v>
                </c:pt>
                <c:pt idx="1108">
                  <c:v>3.7029999999999998</c:v>
                </c:pt>
                <c:pt idx="1109">
                  <c:v>3.6819999999999999</c:v>
                </c:pt>
                <c:pt idx="1110">
                  <c:v>3.6070000000000002</c:v>
                </c:pt>
                <c:pt idx="1111">
                  <c:v>3.6160000000000001</c:v>
                </c:pt>
                <c:pt idx="1112">
                  <c:v>3.6459999999999999</c:v>
                </c:pt>
                <c:pt idx="1113">
                  <c:v>3.786</c:v>
                </c:pt>
                <c:pt idx="1114">
                  <c:v>3.8050000000000002</c:v>
                </c:pt>
                <c:pt idx="1115">
                  <c:v>3.83</c:v>
                </c:pt>
                <c:pt idx="1116">
                  <c:v>4.0140000000000002</c:v>
                </c:pt>
                <c:pt idx="1117">
                  <c:v>3.952</c:v>
                </c:pt>
                <c:pt idx="1118">
                  <c:v>3.9380000000000002</c:v>
                </c:pt>
                <c:pt idx="1119">
                  <c:v>3.9769999999999999</c:v>
                </c:pt>
                <c:pt idx="1120">
                  <c:v>4.0049999999999999</c:v>
                </c:pt>
                <c:pt idx="1121">
                  <c:v>4.0289999999999999</c:v>
                </c:pt>
                <c:pt idx="1122">
                  <c:v>3.9740000000000002</c:v>
                </c:pt>
                <c:pt idx="1123">
                  <c:v>4.0289999999999999</c:v>
                </c:pt>
                <c:pt idx="1124">
                  <c:v>3.9849999999999999</c:v>
                </c:pt>
                <c:pt idx="1125">
                  <c:v>3.9790000000000001</c:v>
                </c:pt>
                <c:pt idx="1126">
                  <c:v>3.99</c:v>
                </c:pt>
                <c:pt idx="1127">
                  <c:v>3.952</c:v>
                </c:pt>
                <c:pt idx="1128">
                  <c:v>3.9319999999999999</c:v>
                </c:pt>
                <c:pt idx="1129">
                  <c:v>3.8719999999999999</c:v>
                </c:pt>
                <c:pt idx="1130">
                  <c:v>3.9020000000000001</c:v>
                </c:pt>
                <c:pt idx="1131">
                  <c:v>4.0250000000000004</c:v>
                </c:pt>
                <c:pt idx="1132">
                  <c:v>3.9609999999999999</c:v>
                </c:pt>
                <c:pt idx="1133">
                  <c:v>4.0030000000000001</c:v>
                </c:pt>
                <c:pt idx="1134">
                  <c:v>3.9969999999999999</c:v>
                </c:pt>
                <c:pt idx="1135">
                  <c:v>4.12</c:v>
                </c:pt>
                <c:pt idx="1136">
                  <c:v>4.2530000000000001</c:v>
                </c:pt>
                <c:pt idx="1137">
                  <c:v>4.282</c:v>
                </c:pt>
                <c:pt idx="1138">
                  <c:v>4.1779999999999999</c:v>
                </c:pt>
                <c:pt idx="1139">
                  <c:v>4.1219999999999999</c:v>
                </c:pt>
                <c:pt idx="1140">
                  <c:v>4.0439999999999996</c:v>
                </c:pt>
                <c:pt idx="1141">
                  <c:v>3.99</c:v>
                </c:pt>
                <c:pt idx="1142">
                  <c:v>3.9790000000000001</c:v>
                </c:pt>
                <c:pt idx="1143">
                  <c:v>3.97</c:v>
                </c:pt>
                <c:pt idx="1144">
                  <c:v>3.8610000000000002</c:v>
                </c:pt>
                <c:pt idx="1145">
                  <c:v>3.944</c:v>
                </c:pt>
                <c:pt idx="1146">
                  <c:v>4.0039999999999996</c:v>
                </c:pt>
                <c:pt idx="1147">
                  <c:v>3.9889999999999999</c:v>
                </c:pt>
                <c:pt idx="1148">
                  <c:v>4.024</c:v>
                </c:pt>
                <c:pt idx="1149">
                  <c:v>4.0049999999999999</c:v>
                </c:pt>
                <c:pt idx="1150">
                  <c:v>3.919</c:v>
                </c:pt>
                <c:pt idx="1151">
                  <c:v>4.0609999999999999</c:v>
                </c:pt>
                <c:pt idx="1152">
                  <c:v>4.0519999999999996</c:v>
                </c:pt>
                <c:pt idx="1153">
                  <c:v>3.968</c:v>
                </c:pt>
                <c:pt idx="1154">
                  <c:v>4.0170000000000003</c:v>
                </c:pt>
                <c:pt idx="1155">
                  <c:v>4.0960000000000001</c:v>
                </c:pt>
                <c:pt idx="1156">
                  <c:v>4.1849999999999996</c:v>
                </c:pt>
                <c:pt idx="1157">
                  <c:v>4.1219999999999999</c:v>
                </c:pt>
                <c:pt idx="1158">
                  <c:v>4.0060000000000002</c:v>
                </c:pt>
                <c:pt idx="1159">
                  <c:v>3.9870000000000001</c:v>
                </c:pt>
                <c:pt idx="1160">
                  <c:v>4.0359999999999996</c:v>
                </c:pt>
                <c:pt idx="1161">
                  <c:v>4.101</c:v>
                </c:pt>
                <c:pt idx="1162">
                  <c:v>4.1849999999999996</c:v>
                </c:pt>
                <c:pt idx="1163">
                  <c:v>4.25</c:v>
                </c:pt>
                <c:pt idx="1164">
                  <c:v>4.2</c:v>
                </c:pt>
                <c:pt idx="1165">
                  <c:v>4.3120000000000003</c:v>
                </c:pt>
                <c:pt idx="1166">
                  <c:v>4.2229999999999999</c:v>
                </c:pt>
                <c:pt idx="1167">
                  <c:v>4.2539999999999996</c:v>
                </c:pt>
                <c:pt idx="1168">
                  <c:v>4.26</c:v>
                </c:pt>
                <c:pt idx="1169">
                  <c:v>4.1849999999999996</c:v>
                </c:pt>
                <c:pt idx="1170">
                  <c:v>4.1059999999999999</c:v>
                </c:pt>
                <c:pt idx="1171">
                  <c:v>4.1509999999999998</c:v>
                </c:pt>
                <c:pt idx="1172">
                  <c:v>4.1319999999999997</c:v>
                </c:pt>
                <c:pt idx="1173">
                  <c:v>4.0910000000000002</c:v>
                </c:pt>
                <c:pt idx="1174">
                  <c:v>4.0629999999999997</c:v>
                </c:pt>
                <c:pt idx="1175">
                  <c:v>4.0179999999999998</c:v>
                </c:pt>
                <c:pt idx="1176">
                  <c:v>3.9980000000000002</c:v>
                </c:pt>
                <c:pt idx="1177">
                  <c:v>4.0830000000000002</c:v>
                </c:pt>
                <c:pt idx="1178">
                  <c:v>4.1269999999999998</c:v>
                </c:pt>
                <c:pt idx="1179">
                  <c:v>4.1219999999999999</c:v>
                </c:pt>
                <c:pt idx="1180">
                  <c:v>4.1520000000000001</c:v>
                </c:pt>
                <c:pt idx="1181">
                  <c:v>4.077</c:v>
                </c:pt>
                <c:pt idx="1182">
                  <c:v>4.1539999999999999</c:v>
                </c:pt>
                <c:pt idx="1183">
                  <c:v>4.1609999999999996</c:v>
                </c:pt>
                <c:pt idx="1184">
                  <c:v>4.1429999999999998</c:v>
                </c:pt>
                <c:pt idx="1185">
                  <c:v>4.109</c:v>
                </c:pt>
                <c:pt idx="1186">
                  <c:v>4.0979999999999999</c:v>
                </c:pt>
                <c:pt idx="1187">
                  <c:v>4.2069999999999999</c:v>
                </c:pt>
                <c:pt idx="1188">
                  <c:v>4.1609999999999996</c:v>
                </c:pt>
                <c:pt idx="1189">
                  <c:v>4.2110000000000003</c:v>
                </c:pt>
                <c:pt idx="1190">
                  <c:v>4.2949999999999999</c:v>
                </c:pt>
                <c:pt idx="1191">
                  <c:v>4.3319999999999999</c:v>
                </c:pt>
                <c:pt idx="1192">
                  <c:v>4.3070000000000004</c:v>
                </c:pt>
                <c:pt idx="1193">
                  <c:v>4.3940000000000001</c:v>
                </c:pt>
                <c:pt idx="1194">
                  <c:v>4.37</c:v>
                </c:pt>
                <c:pt idx="1195">
                  <c:v>4.4489999999999998</c:v>
                </c:pt>
                <c:pt idx="1196">
                  <c:v>4.4790000000000001</c:v>
                </c:pt>
                <c:pt idx="1197">
                  <c:v>4.5309999999999997</c:v>
                </c:pt>
                <c:pt idx="1198">
                  <c:v>4.6520000000000001</c:v>
                </c:pt>
                <c:pt idx="1199">
                  <c:v>4.5620000000000003</c:v>
                </c:pt>
                <c:pt idx="1200">
                  <c:v>4.5339999999999998</c:v>
                </c:pt>
                <c:pt idx="1201">
                  <c:v>4.5119999999999996</c:v>
                </c:pt>
                <c:pt idx="1202">
                  <c:v>4.4489999999999998</c:v>
                </c:pt>
                <c:pt idx="1203">
                  <c:v>4.4210000000000003</c:v>
                </c:pt>
                <c:pt idx="1204">
                  <c:v>4.3639999999999999</c:v>
                </c:pt>
                <c:pt idx="1205">
                  <c:v>4.4580000000000002</c:v>
                </c:pt>
                <c:pt idx="1206">
                  <c:v>4.4509999999999996</c:v>
                </c:pt>
                <c:pt idx="1207">
                  <c:v>4.5419999999999998</c:v>
                </c:pt>
                <c:pt idx="1208">
                  <c:v>4.6440000000000001</c:v>
                </c:pt>
                <c:pt idx="1209">
                  <c:v>4.7779999999999996</c:v>
                </c:pt>
                <c:pt idx="1210">
                  <c:v>4.742</c:v>
                </c:pt>
                <c:pt idx="1211">
                  <c:v>4.7779999999999996</c:v>
                </c:pt>
                <c:pt idx="1212">
                  <c:v>4.6849999999999996</c:v>
                </c:pt>
                <c:pt idx="1213">
                  <c:v>4.7149999999999999</c:v>
                </c:pt>
                <c:pt idx="1214">
                  <c:v>4.8689999999999998</c:v>
                </c:pt>
                <c:pt idx="1215">
                  <c:v>4.8090000000000002</c:v>
                </c:pt>
                <c:pt idx="1216">
                  <c:v>4.8689999999999998</c:v>
                </c:pt>
                <c:pt idx="1217">
                  <c:v>4.9240000000000004</c:v>
                </c:pt>
                <c:pt idx="1218">
                  <c:v>4.9420000000000002</c:v>
                </c:pt>
                <c:pt idx="1219">
                  <c:v>4.7859999999999996</c:v>
                </c:pt>
                <c:pt idx="1220">
                  <c:v>4.718</c:v>
                </c:pt>
                <c:pt idx="1221">
                  <c:v>4.718</c:v>
                </c:pt>
                <c:pt idx="1222">
                  <c:v>4.6900000000000004</c:v>
                </c:pt>
                <c:pt idx="1223">
                  <c:v>4.5789999999999997</c:v>
                </c:pt>
                <c:pt idx="1224">
                  <c:v>4.5279999999999996</c:v>
                </c:pt>
                <c:pt idx="1225">
                  <c:v>4.6180000000000003</c:v>
                </c:pt>
                <c:pt idx="1226">
                  <c:v>4.6660000000000004</c:v>
                </c:pt>
                <c:pt idx="1227">
                  <c:v>4.6609999999999996</c:v>
                </c:pt>
                <c:pt idx="1228">
                  <c:v>4.53</c:v>
                </c:pt>
                <c:pt idx="1229">
                  <c:v>4.55</c:v>
                </c:pt>
                <c:pt idx="1230">
                  <c:v>4.4649999999999999</c:v>
                </c:pt>
                <c:pt idx="1231">
                  <c:v>4.5060000000000002</c:v>
                </c:pt>
                <c:pt idx="1232">
                  <c:v>4.4470000000000001</c:v>
                </c:pt>
                <c:pt idx="1233">
                  <c:v>4.4459999999999997</c:v>
                </c:pt>
                <c:pt idx="1234">
                  <c:v>4.4809999999999999</c:v>
                </c:pt>
                <c:pt idx="1235">
                  <c:v>4.5449999999999999</c:v>
                </c:pt>
                <c:pt idx="1236">
                  <c:v>4.5640000000000001</c:v>
                </c:pt>
                <c:pt idx="1237">
                  <c:v>4.4950000000000001</c:v>
                </c:pt>
                <c:pt idx="1238">
                  <c:v>4.3609999999999998</c:v>
                </c:pt>
                <c:pt idx="1239">
                  <c:v>4.4109999999999996</c:v>
                </c:pt>
                <c:pt idx="1240">
                  <c:v>4.49</c:v>
                </c:pt>
                <c:pt idx="1241">
                  <c:v>4.4470000000000001</c:v>
                </c:pt>
                <c:pt idx="1242">
                  <c:v>4.4119999999999999</c:v>
                </c:pt>
                <c:pt idx="1243">
                  <c:v>4.2830000000000004</c:v>
                </c:pt>
                <c:pt idx="1244">
                  <c:v>4.3380000000000001</c:v>
                </c:pt>
                <c:pt idx="1245">
                  <c:v>4.2939999999999996</c:v>
                </c:pt>
                <c:pt idx="1246">
                  <c:v>4.3390000000000004</c:v>
                </c:pt>
                <c:pt idx="1247">
                  <c:v>4.327</c:v>
                </c:pt>
                <c:pt idx="1248">
                  <c:v>4.2869999999999999</c:v>
                </c:pt>
                <c:pt idx="1249">
                  <c:v>4.133</c:v>
                </c:pt>
                <c:pt idx="1250">
                  <c:v>4.1399999999999997</c:v>
                </c:pt>
                <c:pt idx="1251">
                  <c:v>4.0570000000000004</c:v>
                </c:pt>
                <c:pt idx="1252">
                  <c:v>4.1109999999999998</c:v>
                </c:pt>
                <c:pt idx="1253">
                  <c:v>4.0460000000000003</c:v>
                </c:pt>
                <c:pt idx="1254">
                  <c:v>4.0170000000000003</c:v>
                </c:pt>
                <c:pt idx="1255">
                  <c:v>4.0069999999999997</c:v>
                </c:pt>
                <c:pt idx="1256">
                  <c:v>3.9729999999999999</c:v>
                </c:pt>
                <c:pt idx="1257">
                  <c:v>3.8929999999999998</c:v>
                </c:pt>
                <c:pt idx="1258">
                  <c:v>3.9580000000000002</c:v>
                </c:pt>
                <c:pt idx="1259">
                  <c:v>3.9990000000000001</c:v>
                </c:pt>
                <c:pt idx="1260">
                  <c:v>4.048</c:v>
                </c:pt>
                <c:pt idx="1261">
                  <c:v>4.0529999999999999</c:v>
                </c:pt>
                <c:pt idx="1262">
                  <c:v>4.1360000000000001</c:v>
                </c:pt>
                <c:pt idx="1263">
                  <c:v>4.16</c:v>
                </c:pt>
                <c:pt idx="1264">
                  <c:v>4.1059999999999999</c:v>
                </c:pt>
                <c:pt idx="1265">
                  <c:v>4.12</c:v>
                </c:pt>
                <c:pt idx="1266">
                  <c:v>4.109</c:v>
                </c:pt>
                <c:pt idx="1267">
                  <c:v>4.0750000000000002</c:v>
                </c:pt>
                <c:pt idx="1268">
                  <c:v>4.08</c:v>
                </c:pt>
                <c:pt idx="1269">
                  <c:v>4.1539999999999999</c:v>
                </c:pt>
                <c:pt idx="1270">
                  <c:v>4.2130000000000001</c:v>
                </c:pt>
                <c:pt idx="1271">
                  <c:v>4.2670000000000003</c:v>
                </c:pt>
                <c:pt idx="1272">
                  <c:v>4.2960000000000003</c:v>
                </c:pt>
                <c:pt idx="1273">
                  <c:v>4.2320000000000002</c:v>
                </c:pt>
                <c:pt idx="1274">
                  <c:v>4.1929999999999996</c:v>
                </c:pt>
                <c:pt idx="1275">
                  <c:v>4.2329999999999997</c:v>
                </c:pt>
                <c:pt idx="1276">
                  <c:v>4.2469999999999999</c:v>
                </c:pt>
                <c:pt idx="1277">
                  <c:v>4.218</c:v>
                </c:pt>
                <c:pt idx="1278">
                  <c:v>4.1440000000000001</c:v>
                </c:pt>
                <c:pt idx="1279">
                  <c:v>4.0149999999999997</c:v>
                </c:pt>
                <c:pt idx="1280">
                  <c:v>4.016</c:v>
                </c:pt>
                <c:pt idx="1281">
                  <c:v>3.9820000000000002</c:v>
                </c:pt>
                <c:pt idx="1282">
                  <c:v>4.0990000000000002</c:v>
                </c:pt>
                <c:pt idx="1283">
                  <c:v>4.1289999999999996</c:v>
                </c:pt>
                <c:pt idx="1284">
                  <c:v>4.0910000000000002</c:v>
                </c:pt>
                <c:pt idx="1285">
                  <c:v>4.1109999999999998</c:v>
                </c:pt>
                <c:pt idx="1286">
                  <c:v>4.13</c:v>
                </c:pt>
                <c:pt idx="1287">
                  <c:v>4.1660000000000004</c:v>
                </c:pt>
                <c:pt idx="1288">
                  <c:v>4.1749999999999998</c:v>
                </c:pt>
                <c:pt idx="1289">
                  <c:v>4.2679999999999998</c:v>
                </c:pt>
                <c:pt idx="1290">
                  <c:v>4.1399999999999997</c:v>
                </c:pt>
                <c:pt idx="1291">
                  <c:v>4.1989999999999998</c:v>
                </c:pt>
                <c:pt idx="1292">
                  <c:v>4.1740000000000004</c:v>
                </c:pt>
                <c:pt idx="1293">
                  <c:v>4.1849999999999996</c:v>
                </c:pt>
                <c:pt idx="1294">
                  <c:v>4.1749999999999998</c:v>
                </c:pt>
                <c:pt idx="1295">
                  <c:v>4.16</c:v>
                </c:pt>
                <c:pt idx="1296">
                  <c:v>4.2009999999999996</c:v>
                </c:pt>
                <c:pt idx="1297">
                  <c:v>4.1059999999999999</c:v>
                </c:pt>
                <c:pt idx="1298">
                  <c:v>4.1360000000000001</c:v>
                </c:pt>
                <c:pt idx="1299">
                  <c:v>4.1710000000000003</c:v>
                </c:pt>
                <c:pt idx="1300">
                  <c:v>4.141</c:v>
                </c:pt>
                <c:pt idx="1301">
                  <c:v>4.1459999999999999</c:v>
                </c:pt>
                <c:pt idx="1302">
                  <c:v>4.1059999999999999</c:v>
                </c:pt>
                <c:pt idx="1303">
                  <c:v>4.0960000000000001</c:v>
                </c:pt>
                <c:pt idx="1304">
                  <c:v>4.0119999999999996</c:v>
                </c:pt>
                <c:pt idx="1305">
                  <c:v>4.0140000000000002</c:v>
                </c:pt>
                <c:pt idx="1306">
                  <c:v>3.9780000000000002</c:v>
                </c:pt>
                <c:pt idx="1307">
                  <c:v>3.9569999999999999</c:v>
                </c:pt>
                <c:pt idx="1308">
                  <c:v>3.9510000000000001</c:v>
                </c:pt>
                <c:pt idx="1309">
                  <c:v>4.0229999999999997</c:v>
                </c:pt>
                <c:pt idx="1310">
                  <c:v>4.0620000000000003</c:v>
                </c:pt>
                <c:pt idx="1311">
                  <c:v>4.1390000000000002</c:v>
                </c:pt>
                <c:pt idx="1312">
                  <c:v>4.1159999999999997</c:v>
                </c:pt>
                <c:pt idx="1313">
                  <c:v>4.0869999999999997</c:v>
                </c:pt>
                <c:pt idx="1314">
                  <c:v>4.056</c:v>
                </c:pt>
                <c:pt idx="1315">
                  <c:v>4.0949999999999998</c:v>
                </c:pt>
                <c:pt idx="1316">
                  <c:v>4.0410000000000004</c:v>
                </c:pt>
                <c:pt idx="1317">
                  <c:v>4.0110000000000001</c:v>
                </c:pt>
                <c:pt idx="1318">
                  <c:v>4.0309999999999997</c:v>
                </c:pt>
                <c:pt idx="1319">
                  <c:v>4.0069999999999997</c:v>
                </c:pt>
                <c:pt idx="1320">
                  <c:v>3.968</c:v>
                </c:pt>
                <c:pt idx="1321">
                  <c:v>4.0670000000000002</c:v>
                </c:pt>
                <c:pt idx="1322">
                  <c:v>4.1360000000000001</c:v>
                </c:pt>
                <c:pt idx="1323">
                  <c:v>4.1740000000000004</c:v>
                </c:pt>
                <c:pt idx="1324">
                  <c:v>4.0949999999999998</c:v>
                </c:pt>
                <c:pt idx="1325">
                  <c:v>4.1920000000000002</c:v>
                </c:pt>
                <c:pt idx="1326">
                  <c:v>4.1680000000000001</c:v>
                </c:pt>
                <c:pt idx="1327">
                  <c:v>4.1130000000000004</c:v>
                </c:pt>
                <c:pt idx="1328">
                  <c:v>4.2510000000000003</c:v>
                </c:pt>
                <c:pt idx="1329">
                  <c:v>4.2619999999999996</c:v>
                </c:pt>
                <c:pt idx="1330">
                  <c:v>4.2569999999999997</c:v>
                </c:pt>
                <c:pt idx="1331">
                  <c:v>4.3259999999999996</c:v>
                </c:pt>
                <c:pt idx="1332">
                  <c:v>4.3789999999999996</c:v>
                </c:pt>
                <c:pt idx="1333">
                  <c:v>4.2750000000000004</c:v>
                </c:pt>
                <c:pt idx="1334">
                  <c:v>4.2510000000000003</c:v>
                </c:pt>
                <c:pt idx="1335">
                  <c:v>4.3150000000000004</c:v>
                </c:pt>
                <c:pt idx="1336">
                  <c:v>4.266</c:v>
                </c:pt>
                <c:pt idx="1337">
                  <c:v>4.4039999999999999</c:v>
                </c:pt>
                <c:pt idx="1338">
                  <c:v>4.5179999999999998</c:v>
                </c:pt>
                <c:pt idx="1339">
                  <c:v>4.484</c:v>
                </c:pt>
                <c:pt idx="1340">
                  <c:v>4.42</c:v>
                </c:pt>
                <c:pt idx="1341">
                  <c:v>4.5049999999999999</c:v>
                </c:pt>
                <c:pt idx="1342">
                  <c:v>4.4450000000000003</c:v>
                </c:pt>
                <c:pt idx="1343">
                  <c:v>4.4160000000000004</c:v>
                </c:pt>
                <c:pt idx="1344">
                  <c:v>4.3769999999999998</c:v>
                </c:pt>
                <c:pt idx="1345">
                  <c:v>4.3040000000000003</c:v>
                </c:pt>
                <c:pt idx="1346">
                  <c:v>4.29</c:v>
                </c:pt>
                <c:pt idx="1347">
                  <c:v>4.3440000000000003</c:v>
                </c:pt>
                <c:pt idx="1348">
                  <c:v>4.319</c:v>
                </c:pt>
                <c:pt idx="1349">
                  <c:v>4.3250000000000002</c:v>
                </c:pt>
                <c:pt idx="1350">
                  <c:v>4.3250000000000002</c:v>
                </c:pt>
                <c:pt idx="1351">
                  <c:v>4.3140000000000001</c:v>
                </c:pt>
                <c:pt idx="1352">
                  <c:v>4.1849999999999996</c:v>
                </c:pt>
                <c:pt idx="1353">
                  <c:v>4.2110000000000003</c:v>
                </c:pt>
                <c:pt idx="1354">
                  <c:v>4.2359999999999998</c:v>
                </c:pt>
                <c:pt idx="1355">
                  <c:v>4.2510000000000003</c:v>
                </c:pt>
                <c:pt idx="1356">
                  <c:v>4.2850000000000001</c:v>
                </c:pt>
                <c:pt idx="1357">
                  <c:v>4.2549999999999999</c:v>
                </c:pt>
                <c:pt idx="1358">
                  <c:v>4.3079999999999998</c:v>
                </c:pt>
                <c:pt idx="1359">
                  <c:v>4.2789999999999999</c:v>
                </c:pt>
                <c:pt idx="1360">
                  <c:v>4.2590000000000003</c:v>
                </c:pt>
                <c:pt idx="1361">
                  <c:v>4.3979999999999997</c:v>
                </c:pt>
                <c:pt idx="1362">
                  <c:v>4.4329999999999998</c:v>
                </c:pt>
                <c:pt idx="1363">
                  <c:v>4.4080000000000004</c:v>
                </c:pt>
                <c:pt idx="1364">
                  <c:v>4.3680000000000003</c:v>
                </c:pt>
                <c:pt idx="1365">
                  <c:v>4.3040000000000003</c:v>
                </c:pt>
                <c:pt idx="1366">
                  <c:v>4.2450000000000001</c:v>
                </c:pt>
                <c:pt idx="1367">
                  <c:v>4.2249999999999996</c:v>
                </c:pt>
                <c:pt idx="1368">
                  <c:v>4.22</c:v>
                </c:pt>
                <c:pt idx="1369">
                  <c:v>4.3239999999999998</c:v>
                </c:pt>
                <c:pt idx="1370">
                  <c:v>4.2789999999999999</c:v>
                </c:pt>
                <c:pt idx="1371">
                  <c:v>4.1900000000000004</c:v>
                </c:pt>
                <c:pt idx="1372">
                  <c:v>4.1239999999999997</c:v>
                </c:pt>
                <c:pt idx="1373">
                  <c:v>4.1120000000000001</c:v>
                </c:pt>
                <c:pt idx="1374">
                  <c:v>4.1550000000000002</c:v>
                </c:pt>
                <c:pt idx="1375">
                  <c:v>4.181</c:v>
                </c:pt>
                <c:pt idx="1376">
                  <c:v>4.2050000000000001</c:v>
                </c:pt>
                <c:pt idx="1377">
                  <c:v>4.2130000000000001</c:v>
                </c:pt>
                <c:pt idx="1378">
                  <c:v>4.218</c:v>
                </c:pt>
                <c:pt idx="1379">
                  <c:v>4.2030000000000003</c:v>
                </c:pt>
                <c:pt idx="1380">
                  <c:v>4.3129999999999997</c:v>
                </c:pt>
                <c:pt idx="1381">
                  <c:v>4.4109999999999996</c:v>
                </c:pt>
                <c:pt idx="1382">
                  <c:v>4.3120000000000003</c:v>
                </c:pt>
                <c:pt idx="1383">
                  <c:v>4.3849999999999998</c:v>
                </c:pt>
                <c:pt idx="1384">
                  <c:v>4.41</c:v>
                </c:pt>
                <c:pt idx="1385">
                  <c:v>4.43</c:v>
                </c:pt>
                <c:pt idx="1386">
                  <c:v>4.4160000000000004</c:v>
                </c:pt>
                <c:pt idx="1387">
                  <c:v>4.4050000000000002</c:v>
                </c:pt>
                <c:pt idx="1388">
                  <c:v>4.3620000000000001</c:v>
                </c:pt>
                <c:pt idx="1389">
                  <c:v>4.3479999999999999</c:v>
                </c:pt>
                <c:pt idx="1390">
                  <c:v>4.3479999999999999</c:v>
                </c:pt>
                <c:pt idx="1391">
                  <c:v>4.3769999999999998</c:v>
                </c:pt>
                <c:pt idx="1392">
                  <c:v>4.3280000000000003</c:v>
                </c:pt>
                <c:pt idx="1393">
                  <c:v>4.3280000000000003</c:v>
                </c:pt>
                <c:pt idx="1394">
                  <c:v>4.2549999999999999</c:v>
                </c:pt>
                <c:pt idx="1395">
                  <c:v>4.26</c:v>
                </c:pt>
                <c:pt idx="1396">
                  <c:v>4.2439999999999998</c:v>
                </c:pt>
                <c:pt idx="1397">
                  <c:v>4.2889999999999997</c:v>
                </c:pt>
                <c:pt idx="1398">
                  <c:v>4.3129999999999997</c:v>
                </c:pt>
                <c:pt idx="1399">
                  <c:v>4.3540000000000001</c:v>
                </c:pt>
                <c:pt idx="1400">
                  <c:v>4.3330000000000002</c:v>
                </c:pt>
                <c:pt idx="1401">
                  <c:v>4.3179999999999996</c:v>
                </c:pt>
                <c:pt idx="1402">
                  <c:v>4.3129999999999997</c:v>
                </c:pt>
                <c:pt idx="1403">
                  <c:v>4.2789999999999999</c:v>
                </c:pt>
                <c:pt idx="1404">
                  <c:v>4.2839999999999998</c:v>
                </c:pt>
                <c:pt idx="1405">
                  <c:v>4.12</c:v>
                </c:pt>
                <c:pt idx="1406">
                  <c:v>4.0919999999999996</c:v>
                </c:pt>
                <c:pt idx="1407">
                  <c:v>4.056</c:v>
                </c:pt>
                <c:pt idx="1408">
                  <c:v>3.9830000000000001</c:v>
                </c:pt>
                <c:pt idx="1409">
                  <c:v>4.0259999999999998</c:v>
                </c:pt>
                <c:pt idx="1410">
                  <c:v>4.0869999999999997</c:v>
                </c:pt>
                <c:pt idx="1411">
                  <c:v>4.0759999999999996</c:v>
                </c:pt>
                <c:pt idx="1412">
                  <c:v>4.0650000000000004</c:v>
                </c:pt>
                <c:pt idx="1413">
                  <c:v>4.056</c:v>
                </c:pt>
                <c:pt idx="1414">
                  <c:v>4.0119999999999996</c:v>
                </c:pt>
                <c:pt idx="1415">
                  <c:v>3.9380000000000002</c:v>
                </c:pt>
                <c:pt idx="1416">
                  <c:v>3.8820000000000001</c:v>
                </c:pt>
                <c:pt idx="1417">
                  <c:v>3.9369999999999998</c:v>
                </c:pt>
                <c:pt idx="1418">
                  <c:v>3.9220000000000002</c:v>
                </c:pt>
                <c:pt idx="1419">
                  <c:v>3.9569999999999999</c:v>
                </c:pt>
                <c:pt idx="1420">
                  <c:v>3.8980000000000001</c:v>
                </c:pt>
                <c:pt idx="1421">
                  <c:v>3.8919999999999999</c:v>
                </c:pt>
                <c:pt idx="1422">
                  <c:v>3.927</c:v>
                </c:pt>
                <c:pt idx="1423">
                  <c:v>3.863</c:v>
                </c:pt>
                <c:pt idx="1424">
                  <c:v>3.9169999999999998</c:v>
                </c:pt>
                <c:pt idx="1425">
                  <c:v>3.9369999999999998</c:v>
                </c:pt>
                <c:pt idx="1426">
                  <c:v>3.9609999999999999</c:v>
                </c:pt>
                <c:pt idx="1427">
                  <c:v>3.976</c:v>
                </c:pt>
                <c:pt idx="1428">
                  <c:v>4.0209999999999999</c:v>
                </c:pt>
                <c:pt idx="1429">
                  <c:v>4.0110000000000001</c:v>
                </c:pt>
                <c:pt idx="1430">
                  <c:v>3.9609999999999999</c:v>
                </c:pt>
                <c:pt idx="1431">
                  <c:v>3.9359999999999999</c:v>
                </c:pt>
                <c:pt idx="1432">
                  <c:v>3.89</c:v>
                </c:pt>
                <c:pt idx="1433">
                  <c:v>3.9660000000000002</c:v>
                </c:pt>
                <c:pt idx="1434">
                  <c:v>3.9180000000000001</c:v>
                </c:pt>
                <c:pt idx="1435">
                  <c:v>3.859</c:v>
                </c:pt>
                <c:pt idx="1436">
                  <c:v>3.863</c:v>
                </c:pt>
                <c:pt idx="1437">
                  <c:v>3.827</c:v>
                </c:pt>
                <c:pt idx="1438">
                  <c:v>3.823</c:v>
                </c:pt>
                <c:pt idx="1439">
                  <c:v>3.843</c:v>
                </c:pt>
                <c:pt idx="1440">
                  <c:v>3.8719999999999999</c:v>
                </c:pt>
                <c:pt idx="1441">
                  <c:v>3.9390000000000001</c:v>
                </c:pt>
                <c:pt idx="1442">
                  <c:v>3.93</c:v>
                </c:pt>
                <c:pt idx="1443">
                  <c:v>3.968</c:v>
                </c:pt>
                <c:pt idx="1444">
                  <c:v>3.9</c:v>
                </c:pt>
                <c:pt idx="1445">
                  <c:v>3.919</c:v>
                </c:pt>
                <c:pt idx="1446">
                  <c:v>3.952</c:v>
                </c:pt>
                <c:pt idx="1447">
                  <c:v>3.972</c:v>
                </c:pt>
                <c:pt idx="1448">
                  <c:v>3.9870000000000001</c:v>
                </c:pt>
                <c:pt idx="1449">
                  <c:v>3.996</c:v>
                </c:pt>
                <c:pt idx="1450">
                  <c:v>3.9409999999999998</c:v>
                </c:pt>
                <c:pt idx="1451">
                  <c:v>4</c:v>
                </c:pt>
                <c:pt idx="1452">
                  <c:v>4.0629999999999997</c:v>
                </c:pt>
                <c:pt idx="1453">
                  <c:v>4.1550000000000002</c:v>
                </c:pt>
                <c:pt idx="1454">
                  <c:v>4.181</c:v>
                </c:pt>
                <c:pt idx="1455">
                  <c:v>4.2140000000000004</c:v>
                </c:pt>
                <c:pt idx="1456">
                  <c:v>4.22</c:v>
                </c:pt>
                <c:pt idx="1457">
                  <c:v>4.2640000000000002</c:v>
                </c:pt>
                <c:pt idx="1458">
                  <c:v>4.2439999999999998</c:v>
                </c:pt>
                <c:pt idx="1459">
                  <c:v>4.1959999999999997</c:v>
                </c:pt>
                <c:pt idx="1460">
                  <c:v>4.2389999999999999</c:v>
                </c:pt>
                <c:pt idx="1461">
                  <c:v>4.298</c:v>
                </c:pt>
                <c:pt idx="1462">
                  <c:v>4.2640000000000002</c:v>
                </c:pt>
                <c:pt idx="1463">
                  <c:v>4.423</c:v>
                </c:pt>
                <c:pt idx="1464">
                  <c:v>4.4569999999999999</c:v>
                </c:pt>
                <c:pt idx="1465">
                  <c:v>4.4420000000000002</c:v>
                </c:pt>
                <c:pt idx="1466">
                  <c:v>4.4029999999999996</c:v>
                </c:pt>
                <c:pt idx="1467">
                  <c:v>4.4720000000000004</c:v>
                </c:pt>
                <c:pt idx="1468">
                  <c:v>4.4379999999999997</c:v>
                </c:pt>
                <c:pt idx="1469">
                  <c:v>4.4580000000000002</c:v>
                </c:pt>
                <c:pt idx="1470">
                  <c:v>4.4960000000000004</c:v>
                </c:pt>
                <c:pt idx="1471">
                  <c:v>4.5309999999999997</c:v>
                </c:pt>
                <c:pt idx="1472">
                  <c:v>4.5519999999999996</c:v>
                </c:pt>
                <c:pt idx="1473">
                  <c:v>4.556</c:v>
                </c:pt>
                <c:pt idx="1474">
                  <c:v>4.6210000000000004</c:v>
                </c:pt>
                <c:pt idx="1475">
                  <c:v>4.63</c:v>
                </c:pt>
                <c:pt idx="1476">
                  <c:v>4.5709999999999997</c:v>
                </c:pt>
                <c:pt idx="1477">
                  <c:v>4.5709999999999997</c:v>
                </c:pt>
                <c:pt idx="1478">
                  <c:v>4.5570000000000004</c:v>
                </c:pt>
                <c:pt idx="1479">
                  <c:v>4.6609999999999996</c:v>
                </c:pt>
                <c:pt idx="1480">
                  <c:v>4.6909999999999998</c:v>
                </c:pt>
                <c:pt idx="1481">
                  <c:v>4.6310000000000002</c:v>
                </c:pt>
                <c:pt idx="1482">
                  <c:v>4.5970000000000004</c:v>
                </c:pt>
                <c:pt idx="1483">
                  <c:v>4.5579999999999998</c:v>
                </c:pt>
                <c:pt idx="1484">
                  <c:v>4.5519999999999996</c:v>
                </c:pt>
                <c:pt idx="1485">
                  <c:v>4.5730000000000004</c:v>
                </c:pt>
                <c:pt idx="1486">
                  <c:v>4.5389999999999997</c:v>
                </c:pt>
                <c:pt idx="1487">
                  <c:v>4.4800000000000004</c:v>
                </c:pt>
                <c:pt idx="1488">
                  <c:v>4.4409999999999998</c:v>
                </c:pt>
                <c:pt idx="1489">
                  <c:v>4.4119999999999999</c:v>
                </c:pt>
                <c:pt idx="1490">
                  <c:v>4.3559999999999999</c:v>
                </c:pt>
                <c:pt idx="1491">
                  <c:v>4.335</c:v>
                </c:pt>
                <c:pt idx="1492">
                  <c:v>4.3310000000000004</c:v>
                </c:pt>
                <c:pt idx="1493">
                  <c:v>4.3010000000000002</c:v>
                </c:pt>
                <c:pt idx="1494">
                  <c:v>4.2610000000000001</c:v>
                </c:pt>
                <c:pt idx="1495">
                  <c:v>4.2309999999999999</c:v>
                </c:pt>
                <c:pt idx="1496">
                  <c:v>4.2160000000000002</c:v>
                </c:pt>
                <c:pt idx="1497">
                  <c:v>4.1970000000000001</c:v>
                </c:pt>
                <c:pt idx="1498">
                  <c:v>4.1349999999999998</c:v>
                </c:pt>
                <c:pt idx="1499">
                  <c:v>4.1840000000000002</c:v>
                </c:pt>
                <c:pt idx="1500">
                  <c:v>4.2629999999999999</c:v>
                </c:pt>
                <c:pt idx="1501">
                  <c:v>4.2889999999999997</c:v>
                </c:pt>
                <c:pt idx="1502">
                  <c:v>4.3170000000000002</c:v>
                </c:pt>
                <c:pt idx="1503">
                  <c:v>4.2939999999999996</c:v>
                </c:pt>
                <c:pt idx="1504">
                  <c:v>4.2789999999999999</c:v>
                </c:pt>
                <c:pt idx="1505">
                  <c:v>4.4109999999999996</c:v>
                </c:pt>
                <c:pt idx="1506">
                  <c:v>4.4939999999999998</c:v>
                </c:pt>
                <c:pt idx="1507">
                  <c:v>4.4050000000000002</c:v>
                </c:pt>
                <c:pt idx="1508">
                  <c:v>4.4400000000000004</c:v>
                </c:pt>
                <c:pt idx="1509">
                  <c:v>4.38</c:v>
                </c:pt>
                <c:pt idx="1510">
                  <c:v>4.46</c:v>
                </c:pt>
                <c:pt idx="1511">
                  <c:v>4.3659999999999997</c:v>
                </c:pt>
                <c:pt idx="1512">
                  <c:v>4.4349999999999996</c:v>
                </c:pt>
                <c:pt idx="1513">
                  <c:v>4.3840000000000003</c:v>
                </c:pt>
                <c:pt idx="1514">
                  <c:v>4.47</c:v>
                </c:pt>
                <c:pt idx="1515">
                  <c:v>4.4790000000000001</c:v>
                </c:pt>
                <c:pt idx="1516">
                  <c:v>4.5019999999999998</c:v>
                </c:pt>
                <c:pt idx="1517">
                  <c:v>4.4870000000000001</c:v>
                </c:pt>
                <c:pt idx="1518">
                  <c:v>4.5469999999999997</c:v>
                </c:pt>
                <c:pt idx="1519">
                  <c:v>4.6360000000000001</c:v>
                </c:pt>
                <c:pt idx="1520">
                  <c:v>4.6159999999999997</c:v>
                </c:pt>
                <c:pt idx="1521">
                  <c:v>4.6260000000000003</c:v>
                </c:pt>
                <c:pt idx="1522">
                  <c:v>4.4980000000000002</c:v>
                </c:pt>
                <c:pt idx="1523">
                  <c:v>4.4980000000000002</c:v>
                </c:pt>
                <c:pt idx="1524">
                  <c:v>4.4820000000000002</c:v>
                </c:pt>
                <c:pt idx="1525">
                  <c:v>4.4089999999999998</c:v>
                </c:pt>
                <c:pt idx="1526">
                  <c:v>4.4640000000000004</c:v>
                </c:pt>
                <c:pt idx="1527">
                  <c:v>4.4740000000000002</c:v>
                </c:pt>
                <c:pt idx="1528">
                  <c:v>4.4800000000000004</c:v>
                </c:pt>
                <c:pt idx="1529">
                  <c:v>4.4269999999999996</c:v>
                </c:pt>
                <c:pt idx="1530">
                  <c:v>4.375</c:v>
                </c:pt>
                <c:pt idx="1531">
                  <c:v>4.3849999999999998</c:v>
                </c:pt>
                <c:pt idx="1532">
                  <c:v>4.4349999999999996</c:v>
                </c:pt>
                <c:pt idx="1533">
                  <c:v>4.3860000000000001</c:v>
                </c:pt>
                <c:pt idx="1534">
                  <c:v>4.4210000000000003</c:v>
                </c:pt>
                <c:pt idx="1535">
                  <c:v>4.3630000000000004</c:v>
                </c:pt>
                <c:pt idx="1536">
                  <c:v>4.3239999999999998</c:v>
                </c:pt>
                <c:pt idx="1537">
                  <c:v>4.3639999999999999</c:v>
                </c:pt>
                <c:pt idx="1538">
                  <c:v>4.4089999999999998</c:v>
                </c:pt>
                <c:pt idx="1539">
                  <c:v>4.3949999999999996</c:v>
                </c:pt>
                <c:pt idx="1540">
                  <c:v>4.4690000000000003</c:v>
                </c:pt>
                <c:pt idx="1541">
                  <c:v>4.4790000000000001</c:v>
                </c:pt>
                <c:pt idx="1542">
                  <c:v>4.4240000000000004</c:v>
                </c:pt>
                <c:pt idx="1543">
                  <c:v>4.46</c:v>
                </c:pt>
                <c:pt idx="1544">
                  <c:v>4.5140000000000002</c:v>
                </c:pt>
                <c:pt idx="1545">
                  <c:v>4.5339999999999998</c:v>
                </c:pt>
                <c:pt idx="1546">
                  <c:v>4.5339999999999998</c:v>
                </c:pt>
                <c:pt idx="1547">
                  <c:v>4.5199999999999996</c:v>
                </c:pt>
                <c:pt idx="1548">
                  <c:v>4.4459999999999997</c:v>
                </c:pt>
                <c:pt idx="1549">
                  <c:v>4.407</c:v>
                </c:pt>
                <c:pt idx="1550">
                  <c:v>4.3719999999999999</c:v>
                </c:pt>
                <c:pt idx="1551">
                  <c:v>4.3479999999999999</c:v>
                </c:pt>
                <c:pt idx="1552">
                  <c:v>4.3029999999999999</c:v>
                </c:pt>
                <c:pt idx="1553">
                  <c:v>4.3380000000000001</c:v>
                </c:pt>
                <c:pt idx="1554">
                  <c:v>4.2779999999999996</c:v>
                </c:pt>
                <c:pt idx="1555">
                  <c:v>4.3630000000000004</c:v>
                </c:pt>
                <c:pt idx="1556">
                  <c:v>4.492</c:v>
                </c:pt>
                <c:pt idx="1557">
                  <c:v>4.4130000000000003</c:v>
                </c:pt>
                <c:pt idx="1558">
                  <c:v>4.4489999999999998</c:v>
                </c:pt>
                <c:pt idx="1559">
                  <c:v>4.3890000000000002</c:v>
                </c:pt>
                <c:pt idx="1560">
                  <c:v>4.4489999999999998</c:v>
                </c:pt>
                <c:pt idx="1561">
                  <c:v>4.43</c:v>
                </c:pt>
                <c:pt idx="1562">
                  <c:v>4.4340000000000002</c:v>
                </c:pt>
                <c:pt idx="1563">
                  <c:v>4.4219999999999997</c:v>
                </c:pt>
                <c:pt idx="1564">
                  <c:v>4.4130000000000003</c:v>
                </c:pt>
                <c:pt idx="1565">
                  <c:v>4.4340000000000002</c:v>
                </c:pt>
                <c:pt idx="1566">
                  <c:v>4.3890000000000002</c:v>
                </c:pt>
                <c:pt idx="1567">
                  <c:v>4.4089999999999998</c:v>
                </c:pt>
                <c:pt idx="1568">
                  <c:v>4.415</c:v>
                </c:pt>
                <c:pt idx="1569">
                  <c:v>4.4390000000000001</c:v>
                </c:pt>
                <c:pt idx="1570">
                  <c:v>4.4930000000000003</c:v>
                </c:pt>
                <c:pt idx="1571">
                  <c:v>4.5229999999999997</c:v>
                </c:pt>
                <c:pt idx="1572">
                  <c:v>4.4779999999999998</c:v>
                </c:pt>
                <c:pt idx="1573">
                  <c:v>4.4020000000000001</c:v>
                </c:pt>
                <c:pt idx="1574">
                  <c:v>4.391</c:v>
                </c:pt>
                <c:pt idx="1575">
                  <c:v>4.3970000000000002</c:v>
                </c:pt>
                <c:pt idx="1576">
                  <c:v>4.242</c:v>
                </c:pt>
                <c:pt idx="1577">
                  <c:v>4.1989999999999998</c:v>
                </c:pt>
                <c:pt idx="1578">
                  <c:v>4.0810000000000004</c:v>
                </c:pt>
                <c:pt idx="1579">
                  <c:v>4.2220000000000004</c:v>
                </c:pt>
                <c:pt idx="1580">
                  <c:v>4.3760000000000003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8BA-4C71-B8EA-47A104C6F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3515184"/>
        <c:axId val="1493512784"/>
      </c:lineChart>
      <c:catAx>
        <c:axId val="14935151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512784"/>
        <c:crosses val="autoZero"/>
        <c:auto val="1"/>
        <c:lblAlgn val="ctr"/>
        <c:lblOffset val="100"/>
        <c:noMultiLvlLbl val="0"/>
      </c:catAx>
      <c:valAx>
        <c:axId val="149351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Bond 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51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0</xdr:row>
      <xdr:rowOff>19050</xdr:rowOff>
    </xdr:from>
    <xdr:to>
      <xdr:col>26</xdr:col>
      <xdr:colOff>533400</xdr:colOff>
      <xdr:row>10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344E0D-25D0-4C19-B9AA-FAE30D4EF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12</xdr:row>
      <xdr:rowOff>19050</xdr:rowOff>
    </xdr:from>
    <xdr:to>
      <xdr:col>30</xdr:col>
      <xdr:colOff>304800</xdr:colOff>
      <xdr:row>26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034FB2-C218-44CD-A72C-38BE0B1DE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0.14167</cdr:x>
      <cdr:y>0.86285</cdr:y>
    </cdr:from>
    <cdr:to>
      <cdr:x>0.51875</cdr:x>
      <cdr:y>0.90451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E597070-A7A5-4E30-B13B-0111ACC313AE}"/>
            </a:ext>
          </a:extLst>
        </cdr:cNvPr>
        <cdr:cNvSpPr txBox="1"/>
      </cdr:nvSpPr>
      <cdr:spPr>
        <a:xfrm xmlns:a="http://schemas.openxmlformats.org/drawingml/2006/main">
          <a:off x="647700" y="2366963"/>
          <a:ext cx="1724025" cy="114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1100"/>
        </a:p>
      </cdr:txBody>
    </cdr:sp>
  </cdr:relSizeAnchor>
  <cdr:relSizeAnchor xmlns:cdr="http://schemas.openxmlformats.org/drawingml/2006/chartDrawing">
    <cdr:from>
      <cdr:x>0.09583</cdr:x>
      <cdr:y>0.84896</cdr:y>
    </cdr:from>
    <cdr:to>
      <cdr:x>0.50208</cdr:x>
      <cdr:y>0.95313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DEA2617-BEA4-464B-9063-04CD867AD1C1}"/>
            </a:ext>
          </a:extLst>
        </cdr:cNvPr>
        <cdr:cNvSpPr txBox="1"/>
      </cdr:nvSpPr>
      <cdr:spPr>
        <a:xfrm xmlns:a="http://schemas.openxmlformats.org/drawingml/2006/main">
          <a:off x="438150" y="2328863"/>
          <a:ext cx="18573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1400" b="1" i="1"/>
            <a:t>Predicted</a:t>
          </a:r>
          <a:r>
            <a:rPr lang="en-AU" sz="1400" b="1" i="1" baseline="0"/>
            <a:t> Value</a:t>
          </a:r>
          <a:endParaRPr lang="en-AU" sz="1400" b="1" i="1"/>
        </a:p>
      </cdr:txBody>
    </cdr:sp>
  </cdr:relSizeAnchor>
  <cdr:relSizeAnchor xmlns:cdr="http://schemas.openxmlformats.org/drawingml/2006/chartDrawing">
    <cdr:from>
      <cdr:x>0</cdr:x>
      <cdr:y>0.21875</cdr:y>
    </cdr:from>
    <cdr:to>
      <cdr:x>0.0625</cdr:x>
      <cdr:y>0.62789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719B158-6804-4EE7-96AC-7DE8B097D71C}"/>
            </a:ext>
          </a:extLst>
        </cdr:cNvPr>
        <cdr:cNvSpPr txBox="1"/>
      </cdr:nvSpPr>
      <cdr:spPr>
        <a:xfrm xmlns:a="http://schemas.openxmlformats.org/drawingml/2006/main" rot="16200000">
          <a:off x="-418306" y="1018381"/>
          <a:ext cx="1122362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400" b="1" i="1"/>
            <a:t>Residuals</a:t>
          </a:r>
          <a:endParaRPr lang="en-AU" sz="1100" b="1" i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180974</xdr:colOff>
      <xdr:row>4</xdr:row>
      <xdr:rowOff>190499</xdr:rowOff>
    </xdr:from>
    <xdr:to>
      <xdr:col>20</xdr:col>
      <xdr:colOff>57150</xdr:colOff>
      <xdr:row>27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3CAA68-79F0-454E-97AE-5AB7E0F5B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BH.xlsx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h Flow - Standardized"/>
      <sheetName val="Balance Sheet - Standardized"/>
      <sheetName val="BBG Adjusted"/>
      <sheetName val="Regreesion"/>
      <sheetName val="Valuation and Dicount Cash Flow"/>
    </sheetNames>
    <sheetDataSet>
      <sheetData sheetId="0"/>
      <sheetData sheetId="1"/>
      <sheetData sheetId="2"/>
      <sheetData sheetId="3">
        <row r="5">
          <cell r="D5">
            <v>9.2678405931434504E-4</v>
          </cell>
          <cell r="L5">
            <v>1.821125438841209E-2</v>
          </cell>
        </row>
        <row r="6">
          <cell r="D6">
            <v>6.4814814814814659E-2</v>
          </cell>
          <cell r="L6">
            <v>4.4239500574294599E-3</v>
          </cell>
        </row>
        <row r="7">
          <cell r="D7">
            <v>-1.1739130434782585E-2</v>
          </cell>
          <cell r="L7">
            <v>-7.2429494264164562E-3</v>
          </cell>
        </row>
        <row r="8">
          <cell r="D8">
            <v>-6.5992080950286747E-3</v>
          </cell>
          <cell r="L8">
            <v>3.5601712575614286E-2</v>
          </cell>
        </row>
        <row r="9">
          <cell r="D9">
            <v>2.3472099202834329E-2</v>
          </cell>
          <cell r="L9">
            <v>2.941278099025002E-3</v>
          </cell>
        </row>
        <row r="10">
          <cell r="D10">
            <v>2.7996538295110396E-2</v>
          </cell>
          <cell r="L10">
            <v>1.9111636205416671E-2</v>
          </cell>
        </row>
        <row r="11">
          <cell r="D11">
            <v>-9.3530327903355026E-3</v>
          </cell>
          <cell r="L11">
            <v>8.6397507426134723E-3</v>
          </cell>
        </row>
        <row r="12">
          <cell r="D12">
            <v>7.5539201522851318E-2</v>
          </cell>
          <cell r="L12">
            <v>7.0582776548762105E-3</v>
          </cell>
        </row>
        <row r="13">
          <cell r="D13">
            <v>7.5219455923136724E-3</v>
          </cell>
          <cell r="L13">
            <v>-3.9873699390119421E-3</v>
          </cell>
        </row>
        <row r="14">
          <cell r="D14">
            <v>-2.4859820413285494E-3</v>
          </cell>
          <cell r="L14">
            <v>3.5086379189002148E-3</v>
          </cell>
        </row>
        <row r="15">
          <cell r="D15">
            <v>3.7850437899967115E-2</v>
          </cell>
          <cell r="L15">
            <v>-1.980193085530435E-3</v>
          </cell>
        </row>
        <row r="16">
          <cell r="D16">
            <v>-1.803617081715736E-2</v>
          </cell>
          <cell r="L16">
            <v>2.1845777525442145E-4</v>
          </cell>
        </row>
        <row r="17">
          <cell r="D17">
            <v>2.367480126358168E-2</v>
          </cell>
          <cell r="L17">
            <v>1.134762458348737E-2</v>
          </cell>
        </row>
        <row r="18">
          <cell r="D18">
            <v>2.3522895542970934E-2</v>
          </cell>
          <cell r="L18">
            <v>1.4107557577236474E-3</v>
          </cell>
        </row>
        <row r="19">
          <cell r="D19">
            <v>-2.7241536717174109E-3</v>
          </cell>
          <cell r="L19">
            <v>2.0220049308539823E-2</v>
          </cell>
        </row>
        <row r="20">
          <cell r="D20">
            <v>-9.767297640492445E-3</v>
          </cell>
          <cell r="L20">
            <v>-7.6803940486466216E-3</v>
          </cell>
        </row>
        <row r="21">
          <cell r="D21">
            <v>3.5525501569384499E-3</v>
          </cell>
          <cell r="L21">
            <v>-3.9054378911351773E-3</v>
          </cell>
        </row>
        <row r="22">
          <cell r="D22">
            <v>5.5012610926001848E-3</v>
          </cell>
          <cell r="L22">
            <v>1.6193104537364666E-2</v>
          </cell>
        </row>
        <row r="23">
          <cell r="D23">
            <v>8.7176569680670335E-2</v>
          </cell>
          <cell r="L23">
            <v>1.4345357422619331E-2</v>
          </cell>
        </row>
        <row r="24">
          <cell r="D24">
            <v>1.1148866764076448E-2</v>
          </cell>
          <cell r="L24">
            <v>-8.9156263672832692E-3</v>
          </cell>
        </row>
        <row r="25">
          <cell r="D25">
            <v>-1.4225176512496218E-2</v>
          </cell>
          <cell r="L25">
            <v>7.5042610590345671E-3</v>
          </cell>
        </row>
        <row r="26">
          <cell r="D26">
            <v>-4.1126618440161078E-2</v>
          </cell>
          <cell r="L26">
            <v>1.7171842298746798E-2</v>
          </cell>
        </row>
        <row r="27">
          <cell r="D27">
            <v>-2.3702866244302734E-2</v>
          </cell>
          <cell r="L27">
            <v>1.4814407269359675E-2</v>
          </cell>
        </row>
        <row r="28">
          <cell r="D28">
            <v>-3.8527786982851531E-3</v>
          </cell>
          <cell r="L28">
            <v>-2.7719928409793981E-3</v>
          </cell>
        </row>
        <row r="29">
          <cell r="D29">
            <v>4.4876786243049693E-2</v>
          </cell>
          <cell r="L29">
            <v>2.0101185726147497E-2</v>
          </cell>
        </row>
        <row r="30">
          <cell r="D30">
            <v>5.2941485174494929E-2</v>
          </cell>
          <cell r="L30">
            <v>-8.0567308716793518E-3</v>
          </cell>
        </row>
        <row r="31">
          <cell r="D31">
            <v>3.0240200427303465E-2</v>
          </cell>
          <cell r="L31">
            <v>5.6745215376974301E-4</v>
          </cell>
        </row>
        <row r="32">
          <cell r="D32">
            <v>3.5835230827780729E-2</v>
          </cell>
          <cell r="L32">
            <v>1.3886000039823099E-2</v>
          </cell>
        </row>
        <row r="33">
          <cell r="D33">
            <v>-3.6572645554209804E-2</v>
          </cell>
          <cell r="L33">
            <v>-3.6531080132021776E-3</v>
          </cell>
        </row>
        <row r="34">
          <cell r="D34">
            <v>-4.3775026420143193E-2</v>
          </cell>
          <cell r="L34">
            <v>-2.6539270902633749E-2</v>
          </cell>
        </row>
        <row r="35">
          <cell r="D35">
            <v>0.11051514475560875</v>
          </cell>
          <cell r="L35">
            <v>-2.2974820515971217E-2</v>
          </cell>
        </row>
        <row r="36">
          <cell r="D36">
            <v>4.1271908867632101E-2</v>
          </cell>
          <cell r="L36">
            <v>2.0037131618006132E-2</v>
          </cell>
        </row>
        <row r="37">
          <cell r="D37">
            <v>4.080809497921889E-2</v>
          </cell>
          <cell r="L37">
            <v>1.5430916965927688E-2</v>
          </cell>
        </row>
        <row r="38">
          <cell r="D38">
            <v>7.2957034540859222E-3</v>
          </cell>
          <cell r="L38">
            <v>1.1912083317820121E-2</v>
          </cell>
        </row>
        <row r="39">
          <cell r="D39">
            <v>3.3192267590006264E-2</v>
          </cell>
          <cell r="L39">
            <v>4.7846376920497313E-3</v>
          </cell>
        </row>
        <row r="40">
          <cell r="D40">
            <v>1.8108277298679809E-2</v>
          </cell>
          <cell r="L40">
            <v>9.5569839993847605E-3</v>
          </cell>
        </row>
        <row r="41">
          <cell r="D41">
            <v>-1.0328240329697924E-2</v>
          </cell>
          <cell r="L41">
            <v>-1.9398885039703107E-3</v>
          </cell>
        </row>
        <row r="42">
          <cell r="D42">
            <v>-7.5357909902574738E-3</v>
          </cell>
          <cell r="L42">
            <v>-2.9599002059275459E-2</v>
          </cell>
          <cell r="R42">
            <v>2.4036055532823938E-2</v>
          </cell>
          <cell r="S42">
            <v>-2.3109271473509593E-2</v>
          </cell>
        </row>
        <row r="43">
          <cell r="D43">
            <v>1.5480135130759409E-2</v>
          </cell>
          <cell r="L43">
            <v>1.3904120995833491E-2</v>
          </cell>
          <cell r="R43">
            <v>9.4204673724268689E-3</v>
          </cell>
          <cell r="S43">
            <v>5.539434744238779E-2</v>
          </cell>
        </row>
        <row r="44">
          <cell r="D44">
            <v>-2.7323624053717133E-2</v>
          </cell>
          <cell r="L44">
            <v>6.4953707062826993E-3</v>
          </cell>
          <cell r="R44">
            <v>-2.9473308476685662E-3</v>
          </cell>
          <cell r="S44">
            <v>-8.79179958711402E-3</v>
          </cell>
        </row>
        <row r="45">
          <cell r="D45">
            <v>9.964541138289551E-2</v>
          </cell>
          <cell r="L45">
            <v>1.3517239265742109E-2</v>
          </cell>
          <cell r="R45">
            <v>4.2471260028425134E-2</v>
          </cell>
          <cell r="S45">
            <v>-4.9070468123453809E-2</v>
          </cell>
        </row>
        <row r="46">
          <cell r="D46">
            <v>-1.5057113187954219E-2</v>
          </cell>
          <cell r="L46">
            <v>-1.0367948451291409E-2</v>
          </cell>
          <cell r="R46">
            <v>7.8487226570866757E-3</v>
          </cell>
          <cell r="S46">
            <v>1.5623376545747653E-2</v>
          </cell>
        </row>
        <row r="47">
          <cell r="D47">
            <v>-1.0921298549965153E-3</v>
          </cell>
          <cell r="L47">
            <v>8.4336684104349136E-3</v>
          </cell>
          <cell r="R47">
            <v>2.4990528539913286E-2</v>
          </cell>
          <cell r="S47">
            <v>3.0060097551971102E-3</v>
          </cell>
        </row>
        <row r="48">
          <cell r="D48">
            <v>5.4539945460052586E-4</v>
          </cell>
          <cell r="L48">
            <v>1.6860573182745364E-2</v>
          </cell>
          <cell r="R48">
            <v>1.3889535806820228E-2</v>
          </cell>
          <cell r="S48">
            <v>-2.3242568597155733E-2</v>
          </cell>
        </row>
        <row r="49">
          <cell r="D49">
            <v>-5.7361907453766792E-3</v>
          </cell>
          <cell r="L49">
            <v>-1.2286988191760329E-2</v>
          </cell>
          <cell r="R49">
            <v>1.2213054401736747E-2</v>
          </cell>
          <cell r="S49">
            <v>6.3326147121114576E-2</v>
          </cell>
        </row>
        <row r="50">
          <cell r="D50">
            <v>2.7747390115817172E-2</v>
          </cell>
          <cell r="L50">
            <v>2.0663561042167489E-2</v>
          </cell>
          <cell r="R50">
            <v>5.0383029805409207E-4</v>
          </cell>
          <cell r="S50">
            <v>7.0181152942595804E-3</v>
          </cell>
        </row>
        <row r="51">
          <cell r="D51">
            <v>1.790993171406341E-2</v>
          </cell>
          <cell r="L51">
            <v>-2.0245208784754887E-2</v>
          </cell>
          <cell r="R51">
            <v>8.4501670922703422E-3</v>
          </cell>
          <cell r="S51">
            <v>-1.0936149133598892E-2</v>
          </cell>
        </row>
        <row r="52">
          <cell r="D52">
            <v>-1.5755749489891224E-2</v>
          </cell>
          <cell r="L52">
            <v>4.8696801980621096E-3</v>
          </cell>
          <cell r="R52">
            <v>2.6315899783596738E-3</v>
          </cell>
          <cell r="S52">
            <v>3.5218847921607441E-2</v>
          </cell>
        </row>
        <row r="53">
          <cell r="D53">
            <v>5.6296573841493114E-2</v>
          </cell>
          <cell r="L53">
            <v>1.1415151220126818E-2</v>
          </cell>
          <cell r="R53">
            <v>4.9623266269677429E-3</v>
          </cell>
          <cell r="S53">
            <v>-2.2998497444125104E-2</v>
          </cell>
        </row>
        <row r="54">
          <cell r="D54">
            <v>-3.0314274312678302E-3</v>
          </cell>
          <cell r="L54">
            <v>7.8224281793870531E-4</v>
          </cell>
          <cell r="R54">
            <v>1.6760087431592029E-2</v>
          </cell>
          <cell r="S54">
            <v>6.9147138319896502E-3</v>
          </cell>
        </row>
        <row r="55">
          <cell r="D55">
            <v>-2.8882615656863675E-2</v>
          </cell>
          <cell r="L55">
            <v>-1.0947875455594502E-2</v>
          </cell>
          <cell r="R55">
            <v>6.2262529071095956E-3</v>
          </cell>
          <cell r="S55">
            <v>1.7296642635861337E-2</v>
          </cell>
        </row>
        <row r="56">
          <cell r="D56">
            <v>6.8093127294376998E-2</v>
          </cell>
          <cell r="L56">
            <v>2.9037953769059044E-2</v>
          </cell>
          <cell r="R56">
            <v>2.6165530486481701E-2</v>
          </cell>
          <cell r="S56">
            <v>-2.8889684158199112E-2</v>
          </cell>
        </row>
        <row r="57">
          <cell r="D57">
            <v>1.4646046357331688E-3</v>
          </cell>
          <cell r="L57">
            <v>1.949811582082428E-2</v>
          </cell>
          <cell r="R57">
            <v>-3.4110553211415401E-3</v>
          </cell>
          <cell r="S57">
            <v>-6.3562423193509049E-3</v>
          </cell>
        </row>
        <row r="58">
          <cell r="D58">
            <v>2.4336821611092851E-4</v>
          </cell>
          <cell r="L58">
            <v>3.7390297399959582E-3</v>
          </cell>
          <cell r="R58">
            <v>5.9068448217576737E-4</v>
          </cell>
          <cell r="S58">
            <v>2.9618656747626825E-3</v>
          </cell>
        </row>
        <row r="59">
          <cell r="D59">
            <v>-3.2918806884743579E-2</v>
          </cell>
          <cell r="L59">
            <v>-1.0340678557441696E-2</v>
          </cell>
          <cell r="R59">
            <v>2.1896663642953791E-2</v>
          </cell>
          <cell r="S59">
            <v>-1.6395402550353606E-2</v>
          </cell>
        </row>
        <row r="60">
          <cell r="D60">
            <v>1.1095632565204072E-2</v>
          </cell>
          <cell r="L60">
            <v>7.6355364748215138E-4</v>
          </cell>
          <cell r="R60">
            <v>1.9937911576170694E-2</v>
          </cell>
          <cell r="S60">
            <v>6.7238658104499638E-2</v>
          </cell>
        </row>
        <row r="61">
          <cell r="D61">
            <v>3.6158707557754965E-2</v>
          </cell>
          <cell r="L61">
            <v>1.5689869795916467E-2</v>
          </cell>
          <cell r="R61">
            <v>-4.7204952535753013E-3</v>
          </cell>
          <cell r="S61">
            <v>1.586936201765175E-2</v>
          </cell>
        </row>
        <row r="62">
          <cell r="D62">
            <v>2.7950414141975077E-3</v>
          </cell>
          <cell r="L62">
            <v>4.64537592356562E-3</v>
          </cell>
          <cell r="R62">
            <v>1.268583063159791E-2</v>
          </cell>
          <cell r="S62">
            <v>-2.6911007144094126E-2</v>
          </cell>
        </row>
        <row r="63">
          <cell r="D63">
            <v>-8.5508956011548065E-2</v>
          </cell>
          <cell r="L63">
            <v>-9.4451304749811005E-2</v>
          </cell>
          <cell r="R63">
            <v>2.2934199893259413E-2</v>
          </cell>
          <cell r="S63">
            <v>-6.4060818333420491E-2</v>
          </cell>
        </row>
        <row r="64">
          <cell r="D64">
            <v>-6.8769867537625484E-2</v>
          </cell>
          <cell r="L64">
            <v>-2.8108483041745402E-2</v>
          </cell>
          <cell r="R64">
            <v>2.0435139984428051E-2</v>
          </cell>
          <cell r="S64">
            <v>-4.4138006228730785E-2</v>
          </cell>
        </row>
        <row r="65">
          <cell r="D65">
            <v>-2.1306733115136534E-2</v>
          </cell>
          <cell r="L65">
            <v>-0.10784968102247017</v>
          </cell>
          <cell r="R65">
            <v>1.7922221909134114E-3</v>
          </cell>
          <cell r="S65">
            <v>-5.6450008891985645E-3</v>
          </cell>
        </row>
        <row r="66">
          <cell r="D66">
            <v>-0.17745308268196258</v>
          </cell>
          <cell r="L66">
            <v>-0.13031435390555146</v>
          </cell>
          <cell r="R66">
            <v>2.6039526075045616E-2</v>
          </cell>
          <cell r="S66">
            <v>1.8837260168004077E-2</v>
          </cell>
        </row>
        <row r="67">
          <cell r="D67">
            <v>-0.11928881471275077</v>
          </cell>
          <cell r="L67">
            <v>5.7243235916559776E-3</v>
          </cell>
          <cell r="R67">
            <v>-3.810000893313922E-3</v>
          </cell>
          <cell r="S67">
            <v>5.6751486067808853E-2</v>
          </cell>
        </row>
        <row r="68">
          <cell r="D68">
            <v>0.19884829944214499</v>
          </cell>
          <cell r="L68">
            <v>4.6545412136653752E-2</v>
          </cell>
          <cell r="R68">
            <v>5.3322871344188855E-3</v>
          </cell>
          <cell r="S68">
            <v>2.4907913292884581E-2</v>
          </cell>
        </row>
        <row r="69">
          <cell r="D69">
            <v>0.16414755635067002</v>
          </cell>
          <cell r="L69">
            <v>6.3161010800371287E-2</v>
          </cell>
          <cell r="R69">
            <v>1.9450957914728659E-2</v>
          </cell>
          <cell r="S69">
            <v>1.638427291305207E-2</v>
          </cell>
        </row>
        <row r="70">
          <cell r="D70">
            <v>-2.448542452805369E-2</v>
          </cell>
          <cell r="L70">
            <v>1.8604076757150034E-2</v>
          </cell>
          <cell r="R70">
            <v>8.5817328839182198E-4</v>
          </cell>
          <cell r="S70">
            <v>-3.7430818842601625E-2</v>
          </cell>
        </row>
        <row r="71">
          <cell r="D71">
            <v>1.9656503478394649E-2</v>
          </cell>
          <cell r="L71">
            <v>-4.4579832056917068E-2</v>
          </cell>
          <cell r="R71">
            <v>-2.3402894962058211E-2</v>
          </cell>
          <cell r="S71">
            <v>-2.0372131458084981E-2</v>
          </cell>
        </row>
        <row r="72">
          <cell r="D72">
            <v>1.8089755663961204E-2</v>
          </cell>
          <cell r="L72">
            <v>1.4968720524699552E-3</v>
          </cell>
          <cell r="R72">
            <v>-1.9624307239688353E-2</v>
          </cell>
          <cell r="S72">
            <v>0.13013945199529711</v>
          </cell>
        </row>
        <row r="73">
          <cell r="D73">
            <v>2.7089039138139759E-2</v>
          </cell>
          <cell r="L73">
            <v>2.7676528821382496E-2</v>
          </cell>
          <cell r="R73">
            <v>2.5971623862829127E-2</v>
          </cell>
          <cell r="S73">
            <v>1.5300285004802974E-2</v>
          </cell>
        </row>
        <row r="74">
          <cell r="D74">
            <v>-2.7507988271219141E-2</v>
          </cell>
          <cell r="L74">
            <v>2.5768483550567822E-3</v>
          </cell>
          <cell r="R74">
            <v>2.1088687016220249E-2</v>
          </cell>
          <cell r="S74">
            <v>1.971940796299864E-2</v>
          </cell>
        </row>
        <row r="75">
          <cell r="D75">
            <v>2.5078435147270817E-2</v>
          </cell>
          <cell r="L75">
            <v>1.7618986145572446E-2</v>
          </cell>
          <cell r="R75">
            <v>1.7358456496094903E-2</v>
          </cell>
          <cell r="S75">
            <v>-1.006275304200898E-2</v>
          </cell>
        </row>
        <row r="76">
          <cell r="D76">
            <v>5.6045924970941741E-2</v>
          </cell>
          <cell r="L76">
            <v>4.7238613581456201E-2</v>
          </cell>
          <cell r="R76">
            <v>9.8028236181152504E-3</v>
          </cell>
          <cell r="S76">
            <v>2.3389443971891015E-2</v>
          </cell>
        </row>
        <row r="77">
          <cell r="D77">
            <v>8.7016182909655404E-2</v>
          </cell>
          <cell r="L77">
            <v>4.2248308654255995E-2</v>
          </cell>
          <cell r="R77">
            <v>1.4861872618002623E-2</v>
          </cell>
          <cell r="S77">
            <v>3.2464046806771861E-3</v>
          </cell>
        </row>
        <row r="78">
          <cell r="D78">
            <v>-8.6751398877361607E-3</v>
          </cell>
          <cell r="L78">
            <v>-2.5155717095087127E-2</v>
          </cell>
          <cell r="R78">
            <v>2.6743158913386271E-3</v>
          </cell>
          <cell r="S78">
            <v>-1.3002556221036552E-2</v>
          </cell>
        </row>
        <row r="79">
          <cell r="D79">
            <v>-4.995506274488859E-4</v>
          </cell>
          <cell r="L79">
            <v>1.6205369115986468E-2</v>
          </cell>
          <cell r="R79">
            <v>-2.6646442024881575E-2</v>
          </cell>
          <cell r="S79">
            <v>1.9110651034624102E-2</v>
          </cell>
        </row>
        <row r="80">
          <cell r="D80">
            <v>5.6528753020556488E-2</v>
          </cell>
          <cell r="L80">
            <v>-6.4784974539433549E-3</v>
          </cell>
          <cell r="R80">
            <v>1.9470167502314638E-2</v>
          </cell>
          <cell r="S80">
            <v>-3.9900323715552286E-3</v>
          </cell>
        </row>
        <row r="81">
          <cell r="D81">
            <v>1.0652272160907694E-2</v>
          </cell>
          <cell r="L81">
            <v>2.7448835137236616E-2</v>
          </cell>
          <cell r="R81">
            <v>1.1616330347798191E-2</v>
          </cell>
          <cell r="S81">
            <v>-3.893995440151532E-2</v>
          </cell>
        </row>
        <row r="82">
          <cell r="D82">
            <v>-6.7933249470283341E-3</v>
          </cell>
          <cell r="L82">
            <v>-2.2817869550711967E-2</v>
          </cell>
          <cell r="R82">
            <v>1.9060043528979921E-2</v>
          </cell>
          <cell r="S82">
            <v>8.0585367853915596E-2</v>
          </cell>
        </row>
        <row r="83">
          <cell r="D83">
            <v>1.9341183698115216E-2</v>
          </cell>
          <cell r="L83">
            <v>1.9338286226861179E-2</v>
          </cell>
          <cell r="R83">
            <v>-6.2600668004521333E-3</v>
          </cell>
          <cell r="S83">
            <v>-8.7970463875020853E-3</v>
          </cell>
        </row>
        <row r="84">
          <cell r="D84">
            <v>2.8227038183694431E-2</v>
          </cell>
          <cell r="L84">
            <v>-1.5957277952655113E-3</v>
          </cell>
          <cell r="R84">
            <v>1.3671072906317814E-2</v>
          </cell>
          <cell r="S84">
            <v>-1.4763202761314329E-2</v>
          </cell>
        </row>
        <row r="85">
          <cell r="D85">
            <v>2.767696557040078E-2</v>
          </cell>
          <cell r="L85">
            <v>-1.5944417647393183E-2</v>
          </cell>
          <cell r="R85">
            <v>2.2604231024993808E-2</v>
          </cell>
          <cell r="S85">
            <v>-2.2058831570393282E-2</v>
          </cell>
        </row>
        <row r="86">
          <cell r="D86">
            <v>-2.1876538194087747E-4</v>
          </cell>
          <cell r="L86">
            <v>1.3712697402901375E-2</v>
          </cell>
          <cell r="R86">
            <v>-8.2943944570267533E-3</v>
          </cell>
          <cell r="S86">
            <v>2.5582037116500742E-3</v>
          </cell>
        </row>
        <row r="87">
          <cell r="D87">
            <v>3.6575025593335475E-2</v>
          </cell>
          <cell r="L87">
            <v>2.03383058995803E-2</v>
          </cell>
          <cell r="R87">
            <v>2.6635686558139526E-2</v>
          </cell>
          <cell r="S87">
            <v>1.1117035576776457E-3</v>
          </cell>
        </row>
        <row r="88">
          <cell r="D88">
            <v>7.6272256598055366E-2</v>
          </cell>
          <cell r="L88">
            <v>-5.4549040309870289E-4</v>
          </cell>
          <cell r="R88">
            <v>-1.6730711802645952E-2</v>
          </cell>
          <cell r="S88">
            <v>3.4640643516709362E-2</v>
          </cell>
        </row>
        <row r="89">
          <cell r="D89">
            <v>2.9267600750208844E-2</v>
          </cell>
          <cell r="L89">
            <v>-2.621517057557643E-3</v>
          </cell>
          <cell r="R89">
            <v>9.8929751237443742E-3</v>
          </cell>
          <cell r="S89">
            <v>-2.5648724613635598E-2</v>
          </cell>
        </row>
        <row r="90">
          <cell r="D90">
            <v>-2.6975571412529709E-2</v>
          </cell>
          <cell r="L90">
            <v>-1.9901568003386938E-2</v>
          </cell>
          <cell r="R90">
            <v>1.6831670787358036E-2</v>
          </cell>
          <cell r="S90">
            <v>3.9464903054135081E-2</v>
          </cell>
        </row>
        <row r="91">
          <cell r="D91">
            <v>-5.8858294908716413E-2</v>
          </cell>
          <cell r="L91">
            <v>-9.7098582300130243E-3</v>
          </cell>
          <cell r="R91">
            <v>5.5599815272333779E-3</v>
          </cell>
          <cell r="S91">
            <v>-8.5914089585012073E-3</v>
          </cell>
        </row>
        <row r="92">
          <cell r="D92">
            <v>4.2694867326351638E-3</v>
          </cell>
          <cell r="L92">
            <v>1.1094385248013872E-3</v>
          </cell>
          <cell r="R92">
            <v>-6.8748334041702913E-3</v>
          </cell>
          <cell r="S92">
            <v>-2.2007782252693384E-2</v>
          </cell>
        </row>
        <row r="93">
          <cell r="D93">
            <v>1.1475646395429751E-2</v>
          </cell>
          <cell r="L93">
            <v>1.7295086865910969E-2</v>
          </cell>
          <cell r="R93">
            <v>3.5513177926384983E-2</v>
          </cell>
          <cell r="S93">
            <v>3.2579949367992016E-2</v>
          </cell>
        </row>
        <row r="94">
          <cell r="D94">
            <v>-2.8997382663391469E-2</v>
          </cell>
          <cell r="L94">
            <v>-2.8988055047901362E-2</v>
          </cell>
          <cell r="R94">
            <v>2.5400226241188567E-2</v>
          </cell>
          <cell r="S94">
            <v>-2.3935621605455398E-2</v>
          </cell>
        </row>
        <row r="95">
          <cell r="D95">
            <v>7.530821175960889E-2</v>
          </cell>
          <cell r="L95">
            <v>5.3777774758752894E-2</v>
          </cell>
          <cell r="R95">
            <v>8.6943998945515164E-3</v>
          </cell>
          <cell r="S95">
            <v>-8.4510316784405879E-3</v>
          </cell>
        </row>
        <row r="96">
          <cell r="D96">
            <v>5.0111672637138449E-2</v>
          </cell>
          <cell r="L96">
            <v>1.2256558980506149E-2</v>
          </cell>
          <cell r="R96">
            <v>-6.2311586449405806E-3</v>
          </cell>
          <cell r="S96">
            <v>-2.6687648239802998E-2</v>
          </cell>
        </row>
        <row r="97">
          <cell r="D97">
            <v>-2.5872768035871574E-2</v>
          </cell>
          <cell r="L97">
            <v>-1.5776845776211967E-3</v>
          </cell>
          <cell r="R97">
            <v>5.5401695892435395E-3</v>
          </cell>
          <cell r="S97">
            <v>5.5554629759605326E-3</v>
          </cell>
        </row>
        <row r="98">
          <cell r="D98">
            <v>-6.6889626379798672E-2</v>
          </cell>
          <cell r="L98">
            <v>-3.883009469082388E-2</v>
          </cell>
          <cell r="R98">
            <v>2.1363196653871479E-2</v>
          </cell>
          <cell r="S98">
            <v>1.4795510903883487E-2</v>
          </cell>
        </row>
        <row r="99">
          <cell r="D99">
            <v>2.7830743566262583E-2</v>
          </cell>
          <cell r="L99">
            <v>4.4395856638328679E-2</v>
          </cell>
          <cell r="R99">
            <v>9.6551955825116241E-3</v>
          </cell>
          <cell r="S99">
            <v>-6.8601541683141164E-3</v>
          </cell>
        </row>
        <row r="100">
          <cell r="D100">
            <v>-6.0307178082583124E-2</v>
          </cell>
          <cell r="L100">
            <v>3.7335142635944285E-2</v>
          </cell>
          <cell r="R100">
            <v>-9.5394800995117227E-2</v>
          </cell>
          <cell r="S100">
            <v>9.8858449835691614E-3</v>
          </cell>
        </row>
        <row r="101">
          <cell r="D101">
            <v>4.5830245682039195E-3</v>
          </cell>
          <cell r="L101">
            <v>2.1310895881841319E-2</v>
          </cell>
          <cell r="R101">
            <v>-2.5066378831781207E-2</v>
          </cell>
          <cell r="S101">
            <v>-4.3703488705844278E-2</v>
          </cell>
        </row>
        <row r="102">
          <cell r="D102">
            <v>4.3502767154279809E-4</v>
          </cell>
          <cell r="L102">
            <v>9.6017404973751663E-3</v>
          </cell>
          <cell r="R102">
            <v>-0.10959809591906888</v>
          </cell>
          <cell r="S102">
            <v>8.8291362803932349E-2</v>
          </cell>
        </row>
        <row r="103">
          <cell r="D103">
            <v>-2.2588915021212519E-2</v>
          </cell>
          <cell r="L103">
            <v>5.1590918097541572E-3</v>
          </cell>
          <cell r="R103">
            <v>-0.1334123527988077</v>
          </cell>
          <cell r="S103">
            <v>-4.4040729883154883E-2</v>
          </cell>
        </row>
        <row r="104">
          <cell r="D104">
            <v>-2.177823685065694E-2</v>
          </cell>
          <cell r="L104">
            <v>1.2955683141251395E-3</v>
          </cell>
          <cell r="R104">
            <v>1.0798961933414068E-2</v>
          </cell>
          <cell r="S104">
            <v>-0.13008777664616483</v>
          </cell>
        </row>
        <row r="105">
          <cell r="D105">
            <v>9.0414751099906265E-2</v>
          </cell>
          <cell r="L105">
            <v>4.9510959649534669E-3</v>
          </cell>
          <cell r="R105">
            <v>5.4072411485990103E-2</v>
          </cell>
          <cell r="S105">
            <v>0.1447758879561549</v>
          </cell>
        </row>
        <row r="106">
          <cell r="D106">
            <v>6.666062199655487E-3</v>
          </cell>
          <cell r="L106">
            <v>-1.5387426047460684E-3</v>
          </cell>
          <cell r="R106">
            <v>7.1686206124701141E-2</v>
          </cell>
          <cell r="S106">
            <v>9.246135022596888E-2</v>
          </cell>
        </row>
        <row r="107">
          <cell r="D107">
            <v>6.2094011089375289E-3</v>
          </cell>
          <cell r="L107">
            <v>-1.0358914654514662E-2</v>
          </cell>
          <cell r="R107">
            <v>2.4452477033636365E-2</v>
          </cell>
          <cell r="S107">
            <v>-4.8937901561690055E-2</v>
          </cell>
        </row>
        <row r="108">
          <cell r="D108">
            <v>2.4680748979990064E-2</v>
          </cell>
          <cell r="L108">
            <v>2.5954038436565519E-2</v>
          </cell>
          <cell r="R108">
            <v>-4.2527257903763896E-2</v>
          </cell>
          <cell r="S108">
            <v>6.2183761382158545E-2</v>
          </cell>
        </row>
        <row r="109">
          <cell r="D109">
            <v>1.9068451793367469E-2</v>
          </cell>
          <cell r="L109">
            <v>-6.2618662500479871E-3</v>
          </cell>
          <cell r="R109">
            <v>6.3175427102281799E-3</v>
          </cell>
          <cell r="S109">
            <v>1.1772212953733024E-2</v>
          </cell>
        </row>
        <row r="110">
          <cell r="D110">
            <v>4.7267745978298858E-3</v>
          </cell>
          <cell r="L110">
            <v>1.264758817186129E-2</v>
          </cell>
          <cell r="R110">
            <v>3.4069964237265493E-2</v>
          </cell>
          <cell r="S110">
            <v>-6.9809250991257343E-3</v>
          </cell>
        </row>
        <row r="111">
          <cell r="D111">
            <v>1.4900261078784283E-2</v>
          </cell>
          <cell r="L111">
            <v>-2.838215301230318E-2</v>
          </cell>
          <cell r="R111">
            <v>7.4623994917040739E-3</v>
          </cell>
          <cell r="S111">
            <v>-3.4970387762923216E-2</v>
          </cell>
        </row>
        <row r="112">
          <cell r="D112">
            <v>-1.3136346975765156E-2</v>
          </cell>
          <cell r="L112">
            <v>3.5290059502714133E-2</v>
          </cell>
          <cell r="R112">
            <v>2.3408206280350861E-2</v>
          </cell>
          <cell r="S112">
            <v>1.6702288669199553E-3</v>
          </cell>
        </row>
        <row r="113">
          <cell r="D113">
            <v>-3.9134575576411645E-3</v>
          </cell>
          <cell r="L113">
            <v>-4.7407272774959708E-3</v>
          </cell>
          <cell r="R113">
            <v>5.4807257586881444E-2</v>
          </cell>
          <cell r="S113">
            <v>1.2386673840602963E-3</v>
          </cell>
        </row>
        <row r="114">
          <cell r="D114">
            <v>-2.2991454745729056E-2</v>
          </cell>
          <cell r="L114">
            <v>1.0968164722944262E-3</v>
          </cell>
          <cell r="R114">
            <v>4.9517155920897525E-2</v>
          </cell>
          <cell r="S114">
            <v>3.7499026988757879E-2</v>
          </cell>
        </row>
        <row r="115">
          <cell r="D115">
            <v>-7.7622940774846438E-2</v>
          </cell>
          <cell r="L115">
            <v>-1.5158021872903604E-2</v>
          </cell>
          <cell r="R115">
            <v>-2.1936223003319377E-2</v>
          </cell>
          <cell r="S115">
            <v>1.3261083115583217E-2</v>
          </cell>
        </row>
        <row r="116">
          <cell r="D116">
            <v>4.4230940780570549E-2</v>
          </cell>
          <cell r="L116">
            <v>1.3678448603517301E-2</v>
          </cell>
          <cell r="R116">
            <v>2.1909665026385521E-2</v>
          </cell>
          <cell r="S116">
            <v>-2.2409215653834406E-2</v>
          </cell>
        </row>
        <row r="117">
          <cell r="D117">
            <v>7.3682010269459752E-2</v>
          </cell>
          <cell r="L117">
            <v>8.9857401831263672E-3</v>
          </cell>
          <cell r="R117">
            <v>-2.1369537841143486E-3</v>
          </cell>
          <cell r="S117">
            <v>5.8665706804670835E-2</v>
          </cell>
        </row>
        <row r="118">
          <cell r="D118">
            <v>6.8623849483590238E-2</v>
          </cell>
          <cell r="L118">
            <v>-8.5205583645348026E-3</v>
          </cell>
          <cell r="R118">
            <v>3.3828591664766219E-2</v>
          </cell>
          <cell r="S118">
            <v>-2.3176319503858525E-2</v>
          </cell>
        </row>
        <row r="119">
          <cell r="D119">
            <v>3.7493861386138638E-2</v>
          </cell>
          <cell r="L119">
            <v>1.7457527382053195E-2</v>
          </cell>
          <cell r="R119">
            <v>-1.9457927314030871E-2</v>
          </cell>
          <cell r="S119">
            <v>1.2664602367002536E-2</v>
          </cell>
        </row>
        <row r="120">
          <cell r="D120">
            <v>-5.4670966441600299E-2</v>
          </cell>
          <cell r="L120">
            <v>9.145854679710741E-4</v>
          </cell>
          <cell r="R120">
            <v>2.5230794750802241E-2</v>
          </cell>
          <cell r="S120">
            <v>-5.8896110526870243E-3</v>
          </cell>
        </row>
        <row r="121">
          <cell r="D121">
            <v>2.3918089266418363E-2</v>
          </cell>
          <cell r="L121">
            <v>2.4416002485112998E-2</v>
          </cell>
          <cell r="R121">
            <v>3.0391523422259943E-3</v>
          </cell>
          <cell r="S121">
            <v>2.5187885841468437E-2</v>
          </cell>
        </row>
        <row r="122">
          <cell r="D122">
            <v>-5.7436178956052908E-3</v>
          </cell>
          <cell r="L122">
            <v>9.839546545226785E-3</v>
          </cell>
          <cell r="R122">
            <v>-1.2171547043635775E-2</v>
          </cell>
          <cell r="S122">
            <v>3.9848512614036553E-2</v>
          </cell>
        </row>
        <row r="123">
          <cell r="D123">
            <v>-3.447039411055397E-2</v>
          </cell>
          <cell r="L123">
            <v>-3.6537374720846394E-4</v>
          </cell>
          <cell r="R123">
            <v>1.9267243977068867E-2</v>
          </cell>
          <cell r="S123">
            <v>-1.9486009359009744E-2</v>
          </cell>
        </row>
        <row r="124">
          <cell r="D124">
            <v>-7.6984129592443828E-2</v>
          </cell>
          <cell r="L124">
            <v>-4.9414330289454522E-3</v>
          </cell>
          <cell r="R124">
            <v>2.6290891441053225E-2</v>
          </cell>
          <cell r="S124">
            <v>1.028413415228225E-2</v>
          </cell>
        </row>
        <row r="125">
          <cell r="D125">
            <v>1.1883461959569575E-2</v>
          </cell>
          <cell r="L125">
            <v>7.9084149145096649E-3</v>
          </cell>
          <cell r="R125">
            <v>4.1524836233862699E-3</v>
          </cell>
          <cell r="S125">
            <v>7.2119772974669094E-2</v>
          </cell>
        </row>
        <row r="126">
          <cell r="D126">
            <v>9.1822372356522575E-3</v>
          </cell>
          <cell r="L126">
            <v>-4.9850922346974524E-3</v>
          </cell>
          <cell r="R126">
            <v>1.9517379327733527E-3</v>
          </cell>
          <cell r="S126">
            <v>2.7315862817435491E-2</v>
          </cell>
        </row>
        <row r="127">
          <cell r="D127">
            <v>4.0202301607916713E-3</v>
          </cell>
          <cell r="L127">
            <v>3.0156135810930351E-3</v>
          </cell>
          <cell r="R127">
            <v>-1.6366426514164686E-2</v>
          </cell>
          <cell r="S127">
            <v>-1.0609144898365022E-2</v>
          </cell>
        </row>
        <row r="128">
          <cell r="D128">
            <v>1.5174377718547349E-2</v>
          </cell>
          <cell r="L128">
            <v>2.1431470915493467E-2</v>
          </cell>
          <cell r="R128">
            <v>-5.562441259179705E-3</v>
          </cell>
          <cell r="S128">
            <v>-5.3295853649536706E-2</v>
          </cell>
        </row>
        <row r="129">
          <cell r="D129">
            <v>4.9825192766881354E-3</v>
          </cell>
          <cell r="L129">
            <v>1.6174104896199859E-2</v>
          </cell>
          <cell r="R129">
            <v>5.9068337896157038E-3</v>
          </cell>
          <cell r="S129">
            <v>-1.63734705698054E-3</v>
          </cell>
        </row>
        <row r="130">
          <cell r="D130">
            <v>-1.6526056195398819E-2</v>
          </cell>
          <cell r="L130">
            <v>2.3954422229650607E-3</v>
          </cell>
          <cell r="R130">
            <v>2.3064848480788602E-2</v>
          </cell>
          <cell r="S130">
            <v>-1.1589202085358852E-2</v>
          </cell>
        </row>
        <row r="131">
          <cell r="D131">
            <v>2.226540935576371E-2</v>
          </cell>
          <cell r="L131">
            <v>7.7291244877097931E-3</v>
          </cell>
          <cell r="R131">
            <v>-2.5998791861244923E-2</v>
          </cell>
          <cell r="S131">
            <v>-2.998590802146546E-3</v>
          </cell>
        </row>
        <row r="132">
          <cell r="D132">
            <v>8.0123511756131638E-3</v>
          </cell>
          <cell r="L132">
            <v>-8.2108294390730308E-3</v>
          </cell>
          <cell r="R132">
            <v>6.173926433652966E-2</v>
          </cell>
          <cell r="S132">
            <v>1.3568947423079229E-2</v>
          </cell>
        </row>
        <row r="133">
          <cell r="D133">
            <v>2.5886478370834576E-2</v>
          </cell>
          <cell r="L133">
            <v>1.4882529485245044E-3</v>
          </cell>
          <cell r="R133">
            <v>1.772362682208712E-2</v>
          </cell>
          <cell r="S133">
            <v>3.2388045815051329E-2</v>
          </cell>
        </row>
        <row r="134">
          <cell r="D134">
            <v>-5.8414366630651915E-2</v>
          </cell>
          <cell r="L134">
            <v>-4.7492161275108913E-3</v>
          </cell>
          <cell r="R134">
            <v>3.05827952124859E-3</v>
          </cell>
          <cell r="S134">
            <v>-2.8931047557120164E-2</v>
          </cell>
        </row>
        <row r="135">
          <cell r="D135">
            <v>1.2450080583889855E-2</v>
          </cell>
          <cell r="L135">
            <v>1.0288047613747686E-2</v>
          </cell>
          <cell r="R135">
            <v>-3.6432100260480417E-2</v>
          </cell>
          <cell r="S135">
            <v>-3.0457526119318255E-2</v>
          </cell>
        </row>
        <row r="136">
          <cell r="D136">
            <v>4.6268661842435055E-2</v>
          </cell>
          <cell r="L136">
            <v>6.2912643123180789E-3</v>
          </cell>
          <cell r="R136">
            <v>5.1793719644769448E-2</v>
          </cell>
          <cell r="S136">
            <v>-2.3962976078506865E-2</v>
          </cell>
        </row>
        <row r="137">
          <cell r="D137">
            <v>-4.3027694893333357E-2</v>
          </cell>
          <cell r="L137">
            <v>-2.3369079136748017E-4</v>
          </cell>
          <cell r="R137">
            <v>4.4308827348216777E-2</v>
          </cell>
          <cell r="S137">
            <v>-0.10461600543079991</v>
          </cell>
        </row>
        <row r="138">
          <cell r="D138">
            <v>1.7485156054374507E-2</v>
          </cell>
          <cell r="L138">
            <v>1.9728241043594386E-2</v>
          </cell>
          <cell r="R138">
            <v>2.7321910579269477E-2</v>
          </cell>
          <cell r="S138">
            <v>-2.2738886011065558E-2</v>
          </cell>
        </row>
        <row r="139">
          <cell r="D139">
            <v>-1.1455329104727796E-2</v>
          </cell>
          <cell r="L139">
            <v>1.3813029865642257E-2</v>
          </cell>
          <cell r="R139">
            <v>1.4909317900011772E-2</v>
          </cell>
          <cell r="S139">
            <v>-1.4474290228468974E-2</v>
          </cell>
        </row>
        <row r="140">
          <cell r="D140">
            <v>3.103339500225788E-3</v>
          </cell>
          <cell r="L140">
            <v>-1.885048556696256E-2</v>
          </cell>
          <cell r="R140">
            <v>1.0199773379863396E-2</v>
          </cell>
          <cell r="S140">
            <v>-3.2788688401075919E-2</v>
          </cell>
        </row>
        <row r="141">
          <cell r="D141">
            <v>-2.862898085111798E-2</v>
          </cell>
          <cell r="L141">
            <v>5.5335506958034131E-3</v>
          </cell>
          <cell r="R141">
            <v>6.1041454815774308E-3</v>
          </cell>
          <cell r="S141">
            <v>-2.7882382332234369E-2</v>
          </cell>
        </row>
        <row r="142">
          <cell r="D142">
            <v>-1.1192717383886053E-2</v>
          </cell>
          <cell r="L142">
            <v>1.2683392837087526E-2</v>
          </cell>
          <cell r="R142">
            <v>9.9792820108689992E-3</v>
          </cell>
          <cell r="S142">
            <v>8.0435469089037259E-2</v>
          </cell>
        </row>
        <row r="143">
          <cell r="D143">
            <v>-3.328926620263406E-3</v>
          </cell>
          <cell r="L143">
            <v>-1.1646118979013576E-2</v>
          </cell>
          <cell r="R143">
            <v>3.0995609656870957E-3</v>
          </cell>
          <cell r="S143">
            <v>3.5665012339683912E-3</v>
          </cell>
        </row>
        <row r="144">
          <cell r="D144">
            <v>1.6254532411402733E-2</v>
          </cell>
          <cell r="L144">
            <v>-1.2435531702348346E-4</v>
          </cell>
          <cell r="R144">
            <v>-6.2504902907846889E-3</v>
          </cell>
          <cell r="S144">
            <v>1.2459891399722218E-2</v>
          </cell>
        </row>
        <row r="145">
          <cell r="D145">
            <v>-2.2567794240984096E-2</v>
          </cell>
          <cell r="L145">
            <v>-8.0542708442004063E-3</v>
          </cell>
          <cell r="R145">
            <v>3.2243993803135348E-2</v>
          </cell>
          <cell r="S145">
            <v>-7.5632448231452848E-3</v>
          </cell>
        </row>
        <row r="146">
          <cell r="D146">
            <v>1.4796104425424117E-2</v>
          </cell>
          <cell r="L146">
            <v>-2.1333463988339241E-2</v>
          </cell>
          <cell r="R146">
            <v>-1.9073082796112906E-3</v>
          </cell>
          <cell r="S146">
            <v>2.0975760072978758E-2</v>
          </cell>
        </row>
        <row r="147">
          <cell r="D147">
            <v>4.9480253874975677E-2</v>
          </cell>
          <cell r="L147">
            <v>1.8775711691030317E-2</v>
          </cell>
          <cell r="R147">
            <v>1.8138147418886953E-2</v>
          </cell>
          <cell r="S147">
            <v>-1.3411372821057067E-2</v>
          </cell>
        </row>
        <row r="148">
          <cell r="D148">
            <v>-1.3681454252480019E-2</v>
          </cell>
          <cell r="L148">
            <v>5.8131328817399019E-3</v>
          </cell>
          <cell r="R148">
            <v>-2.5356489754519894E-2</v>
          </cell>
          <cell r="S148">
            <v>4.0256750833304177E-2</v>
          </cell>
        </row>
        <row r="149">
          <cell r="D149">
            <v>2.0700487901174069E-2</v>
          </cell>
          <cell r="L149">
            <v>7.2668023453827946E-3</v>
          </cell>
          <cell r="R149">
            <v>4.2140884136729249E-2</v>
          </cell>
          <cell r="S149">
            <v>-5.5277231112494406E-2</v>
          </cell>
        </row>
        <row r="150">
          <cell r="D150">
            <v>5.561344686328229E-2</v>
          </cell>
          <cell r="L150">
            <v>-1.2276258163062659E-2</v>
          </cell>
          <cell r="R150">
            <v>-2.947856121026304E-4</v>
          </cell>
          <cell r="S150">
            <v>-3.6186719455385341E-3</v>
          </cell>
        </row>
        <row r="151">
          <cell r="D151">
            <v>-6.140831634127708E-3</v>
          </cell>
          <cell r="L151">
            <v>1.973999194706022E-2</v>
          </cell>
          <cell r="R151">
            <v>5.8934534567564303E-3</v>
          </cell>
          <cell r="S151">
            <v>-2.8884908202485488E-2</v>
          </cell>
        </row>
        <row r="152">
          <cell r="D152">
            <v>-3.1879170633022369E-3</v>
          </cell>
          <cell r="L152">
            <v>1.1694040444876208E-4</v>
          </cell>
          <cell r="R152">
            <v>-1.1337907885821013E-2</v>
          </cell>
          <cell r="S152">
            <v>-6.628503288902543E-2</v>
          </cell>
        </row>
        <row r="153">
          <cell r="D153">
            <v>-7.3974284370540433E-3</v>
          </cell>
          <cell r="L153">
            <v>-4.5372680869676385E-3</v>
          </cell>
          <cell r="R153">
            <v>1.9230937652440869E-2</v>
          </cell>
          <cell r="S153">
            <v>2.500000312812968E-2</v>
          </cell>
        </row>
        <row r="154">
          <cell r="D154">
            <v>-4.4914512411561081E-2</v>
          </cell>
          <cell r="L154">
            <v>-1.574199818310662E-2</v>
          </cell>
          <cell r="R154">
            <v>1.425631085210729E-2</v>
          </cell>
          <cell r="S154">
            <v>5.9425699417352464E-2</v>
          </cell>
        </row>
        <row r="155">
          <cell r="D155">
            <v>1.0544177074907068E-3</v>
          </cell>
          <cell r="L155">
            <v>-4.9187759822878485E-3</v>
          </cell>
          <cell r="R155">
            <v>-4.301693210412549E-3</v>
          </cell>
          <cell r="S155">
            <v>7.2925542694002782E-2</v>
          </cell>
        </row>
        <row r="156">
          <cell r="D156">
            <v>6.9531706727052889E-3</v>
          </cell>
          <cell r="L156">
            <v>1.5525497597163262E-2</v>
          </cell>
          <cell r="R156">
            <v>2.3237047746685849E-2</v>
          </cell>
          <cell r="S156">
            <v>1.4256813639452789E-2</v>
          </cell>
        </row>
        <row r="157">
          <cell r="D157">
            <v>-3.1381014903062443E-3</v>
          </cell>
          <cell r="L157">
            <v>-6.7379914753317172E-3</v>
          </cell>
          <cell r="R157">
            <v>5.7002747725621262E-3</v>
          </cell>
          <cell r="S157">
            <v>-6.0371241214162423E-2</v>
          </cell>
        </row>
        <row r="158">
          <cell r="D158">
            <v>1.7836880738243854E-2</v>
          </cell>
          <cell r="L158">
            <v>1.599623298703956E-2</v>
          </cell>
          <cell r="R158">
            <v>3.0613559056598322E-2</v>
          </cell>
          <cell r="S158">
            <v>-6.6954697901799587E-3</v>
          </cell>
        </row>
        <row r="159">
          <cell r="D159">
            <v>-3.711047972324133E-3</v>
          </cell>
          <cell r="L159">
            <v>4.4190302345163968E-3</v>
          </cell>
          <cell r="R159">
            <v>1.5161410344917078E-2</v>
          </cell>
          <cell r="S159">
            <v>-2.0905028240522368E-2</v>
          </cell>
        </row>
        <row r="160">
          <cell r="D160">
            <v>-3.9113622598101694E-2</v>
          </cell>
          <cell r="L160">
            <v>1.1998983389134299E-3</v>
          </cell>
          <cell r="R160">
            <v>4.3434209378984288E-3</v>
          </cell>
          <cell r="S160">
            <v>-3.8813815048452396E-2</v>
          </cell>
        </row>
        <row r="161">
          <cell r="D161">
            <v>-2.8214081449331685E-2</v>
          </cell>
          <cell r="L161">
            <v>-7.9813810809766794E-3</v>
          </cell>
          <cell r="R161">
            <v>-5.0754892929558409E-4</v>
          </cell>
          <cell r="S161">
            <v>-7.6476580663148247E-2</v>
          </cell>
        </row>
        <row r="162">
          <cell r="D162">
            <v>5.8289148108872535E-2</v>
          </cell>
          <cell r="L162">
            <v>-2.9490008597007789E-2</v>
          </cell>
          <cell r="R162">
            <v>1.3114264367682683E-2</v>
          </cell>
          <cell r="S162">
            <v>-1.2308024081131089E-3</v>
          </cell>
        </row>
        <row r="163">
          <cell r="D163">
            <v>-5.2566886001536361E-2</v>
          </cell>
          <cell r="L163">
            <v>-2.615327798576339E-2</v>
          </cell>
          <cell r="R163">
            <v>-5.5383099831812169E-4</v>
          </cell>
          <cell r="S163">
            <v>9.7360682339703783E-3</v>
          </cell>
        </row>
        <row r="164">
          <cell r="D164">
            <v>6.3660753317445362E-2</v>
          </cell>
          <cell r="L164">
            <v>1.8915713460103234E-2</v>
          </cell>
          <cell r="R164">
            <v>7.9275239053603844E-3</v>
          </cell>
          <cell r="S164">
            <v>-3.9072937445687132E-3</v>
          </cell>
        </row>
        <row r="165">
          <cell r="D165">
            <v>1.9326537613167494E-2</v>
          </cell>
          <cell r="L165">
            <v>1.3680522240270054E-2</v>
          </cell>
          <cell r="R165">
            <v>2.744972925883004E-2</v>
          </cell>
          <cell r="S165">
            <v>-1.227535154028269E-2</v>
          </cell>
        </row>
        <row r="166">
          <cell r="D166">
            <v>9.3985995340451156E-2</v>
          </cell>
          <cell r="L166">
            <v>3.2531604782468637E-3</v>
          </cell>
          <cell r="R166">
            <v>2.1876522582468444E-2</v>
          </cell>
          <cell r="S166">
            <v>-1.6894003305780309E-2</v>
          </cell>
        </row>
        <row r="167">
          <cell r="D167">
            <v>-4.3273046114520985E-2</v>
          </cell>
          <cell r="L167">
            <v>-2.1083050472212927E-2</v>
          </cell>
          <cell r="R167">
            <v>7.2700952346300427E-3</v>
          </cell>
          <cell r="S167">
            <v>-2.3796151430028861E-2</v>
          </cell>
        </row>
        <row r="168">
          <cell r="D168">
            <v>9.375990257420419E-3</v>
          </cell>
          <cell r="L168">
            <v>1.9533281311325368E-2</v>
          </cell>
          <cell r="R168">
            <v>1.2924202918663957E-2</v>
          </cell>
          <cell r="S168">
            <v>9.3412064370997534E-3</v>
          </cell>
        </row>
        <row r="169">
          <cell r="D169">
            <v>8.8857016226331353E-3</v>
          </cell>
          <cell r="L169">
            <v>-3.478752797871687E-3</v>
          </cell>
          <cell r="R169">
            <v>-3.9733570609203767E-3</v>
          </cell>
          <cell r="S169">
            <v>1.198570823653354E-2</v>
          </cell>
        </row>
        <row r="170">
          <cell r="D170">
            <v>-2.0616795458081594E-2</v>
          </cell>
          <cell r="L170">
            <v>3.2849444167401431E-2</v>
          </cell>
          <cell r="R170">
            <v>6.3084058064104206E-3</v>
          </cell>
          <cell r="S170">
            <v>1.9578072564424155E-2</v>
          </cell>
        </row>
        <row r="171">
          <cell r="D171">
            <v>0.11955935994118994</v>
          </cell>
          <cell r="L171">
            <v>1.5544830706759605E-2</v>
          </cell>
          <cell r="R171">
            <v>-3.0378443687613301E-4</v>
          </cell>
          <cell r="S171">
            <v>-5.8110582193775781E-2</v>
          </cell>
        </row>
        <row r="172">
          <cell r="D172">
            <v>-2.8478181937061753E-2</v>
          </cell>
          <cell r="L172">
            <v>1.207999237310875E-2</v>
          </cell>
          <cell r="R172">
            <v>1.5636855489931319E-2</v>
          </cell>
          <cell r="S172">
            <v>-3.1867749060414639E-3</v>
          </cell>
        </row>
        <row r="173">
          <cell r="D173">
            <v>-2.8559768600721736E-2</v>
          </cell>
          <cell r="L173">
            <v>-2.0902569551406458E-3</v>
          </cell>
          <cell r="R173">
            <v>1.1399962091649164E-2</v>
          </cell>
          <cell r="S173">
            <v>3.4868699750785895E-2</v>
          </cell>
        </row>
        <row r="174">
          <cell r="D174">
            <v>-1.334728742731206E-2</v>
          </cell>
          <cell r="L174">
            <v>6.1118974620861799E-3</v>
          </cell>
          <cell r="R174">
            <v>4.483014857355954E-3</v>
          </cell>
          <cell r="S174">
            <v>-4.7510709750689314E-2</v>
          </cell>
        </row>
        <row r="175">
          <cell r="D175">
            <v>1.6076550735030448E-2</v>
          </cell>
          <cell r="L175">
            <v>-6.6210662915866525E-3</v>
          </cell>
          <cell r="R175">
            <v>2.5644176429026895E-2</v>
          </cell>
          <cell r="S175">
            <v>-8.1590203746523884E-3</v>
          </cell>
        </row>
        <row r="176">
          <cell r="D176">
            <v>2.1994615663977424E-2</v>
          </cell>
          <cell r="L176">
            <v>-5.1201119625784441E-3</v>
          </cell>
          <cell r="R176">
            <v>1.9373603996354419E-2</v>
          </cell>
          <cell r="S176">
            <v>-3.0828933101082215E-2</v>
          </cell>
        </row>
        <row r="177">
          <cell r="D177">
            <v>-8.0233929907348678E-2</v>
          </cell>
          <cell r="L177">
            <v>-3.0760053230605378E-2</v>
          </cell>
          <cell r="R177">
            <v>-1.5252199422006884E-2</v>
          </cell>
          <cell r="S177">
            <v>1.835553892223267E-2</v>
          </cell>
        </row>
        <row r="178">
          <cell r="D178">
            <v>-3.9010747507863819E-3</v>
          </cell>
          <cell r="L178">
            <v>-1.5151692304356645E-2</v>
          </cell>
          <cell r="R178">
            <v>1.0596728196418673E-2</v>
          </cell>
          <cell r="S178">
            <v>-3.9225709047536653E-2</v>
          </cell>
        </row>
        <row r="179">
          <cell r="D179">
            <v>-4.9040776235559025E-2</v>
          </cell>
          <cell r="L179">
            <v>1.2224525778801842E-2</v>
          </cell>
          <cell r="R179">
            <v>1.8176103079297783E-2</v>
          </cell>
          <cell r="S179">
            <v>-2.9368820463183835E-2</v>
          </cell>
        </row>
        <row r="180">
          <cell r="D180">
            <v>5.8505218903310841E-3</v>
          </cell>
          <cell r="L180">
            <v>5.5230399759613746E-3</v>
          </cell>
          <cell r="R180">
            <v>-7.6150244907646925E-3</v>
          </cell>
          <cell r="S180">
            <v>4.2860978705012865E-3</v>
          </cell>
        </row>
        <row r="181">
          <cell r="D181">
            <v>-2.5856549505031134E-3</v>
          </cell>
          <cell r="L181">
            <v>7.8601290311925975E-3</v>
          </cell>
          <cell r="R181">
            <v>4.5989187516902877E-3</v>
          </cell>
          <cell r="S181">
            <v>1.1655613659712447E-2</v>
          </cell>
        </row>
        <row r="182">
          <cell r="D182">
            <v>-9.9567940351079298E-2</v>
          </cell>
          <cell r="L182">
            <v>-4.2194318126074437E-2</v>
          </cell>
          <cell r="R182">
            <v>-3.8073930776283908E-3</v>
          </cell>
          <cell r="S182">
            <v>-1.8760401163355707E-2</v>
          </cell>
        </row>
        <row r="183">
          <cell r="D183">
            <v>-0.1112981709568569</v>
          </cell>
          <cell r="L183">
            <v>-6.5952596150778864E-2</v>
          </cell>
          <cell r="R183">
            <v>-1.7884344847015281E-2</v>
          </cell>
          <cell r="S183">
            <v>3.2680449272439398E-2</v>
          </cell>
        </row>
        <row r="184">
          <cell r="D184">
            <v>6.423818583843266E-2</v>
          </cell>
          <cell r="L184">
            <v>1.6101651185609356E-2</v>
          </cell>
          <cell r="R184">
            <v>2.4634423079600842E-2</v>
          </cell>
          <cell r="S184">
            <v>2.4845830795374835E-2</v>
          </cell>
        </row>
        <row r="185">
          <cell r="D185">
            <v>-3.474447532498659E-2</v>
          </cell>
          <cell r="L185">
            <v>-4.4106667866070648E-3</v>
          </cell>
          <cell r="R185">
            <v>1.0893106515815648E-2</v>
          </cell>
          <cell r="S185">
            <v>-2.4574560768295665E-2</v>
          </cell>
        </row>
        <row r="186">
          <cell r="D186">
            <v>6.7787413225903981E-2</v>
          </cell>
          <cell r="L186">
            <v>2.1148971226618185E-2</v>
          </cell>
          <cell r="R186">
            <v>1.2434106387284764E-2</v>
          </cell>
          <cell r="S186">
            <v>8.2663815138893058E-3</v>
          </cell>
        </row>
        <row r="187">
          <cell r="D187">
            <v>-6.3980918234937123E-3</v>
          </cell>
          <cell r="L187">
            <v>-1.0770654277260538E-2</v>
          </cell>
          <cell r="R187">
            <v>-8.283019812888235E-3</v>
          </cell>
          <cell r="S187">
            <v>6.3896466676170521E-2</v>
          </cell>
        </row>
        <row r="188">
          <cell r="D188">
            <v>0.10103949633118936</v>
          </cell>
          <cell r="L188">
            <v>2.8147459910343509E-2</v>
          </cell>
          <cell r="R188">
            <v>2.5656633277838403E-2</v>
          </cell>
          <cell r="S188">
            <v>-3.1797464911966111E-2</v>
          </cell>
        </row>
        <row r="189">
          <cell r="D189">
            <v>-5.3305565554241485E-2</v>
          </cell>
          <cell r="L189">
            <v>2.262387393612153E-2</v>
          </cell>
          <cell r="R189">
            <v>4.85471051527522E-3</v>
          </cell>
          <cell r="S189">
            <v>-8.0426275785774569E-3</v>
          </cell>
        </row>
        <row r="190">
          <cell r="D190">
            <v>5.4407752154130629E-2</v>
          </cell>
          <cell r="L190">
            <v>1.0143966401488624E-2</v>
          </cell>
          <cell r="R190">
            <v>-7.9103440677179282E-5</v>
          </cell>
          <cell r="S190">
            <v>-7.318324996376864E-3</v>
          </cell>
        </row>
        <row r="191">
          <cell r="D191">
            <v>2.636165539931401E-2</v>
          </cell>
          <cell r="L191">
            <v>3.5408867478097239E-3</v>
          </cell>
          <cell r="R191">
            <v>-1.1956967060874941E-2</v>
          </cell>
          <cell r="S191">
            <v>-3.2957545350686138E-2</v>
          </cell>
        </row>
        <row r="192">
          <cell r="D192">
            <v>-2.7881274123199629E-2</v>
          </cell>
          <cell r="L192">
            <v>1.4662253440163697E-2</v>
          </cell>
          <cell r="R192">
            <v>-4.8353074162605595E-4</v>
          </cell>
          <cell r="S192">
            <v>1.5379484491167628E-3</v>
          </cell>
        </row>
        <row r="193">
          <cell r="D193">
            <v>1.068758519089652E-2</v>
          </cell>
          <cell r="L193">
            <v>2.3643121147176593E-4</v>
          </cell>
          <cell r="R193">
            <v>2.1188949657916144E-2</v>
          </cell>
          <cell r="S193">
            <v>-1.4235778985210855E-2</v>
          </cell>
        </row>
        <row r="194">
          <cell r="D194">
            <v>-7.1512010053502828E-2</v>
          </cell>
          <cell r="L194">
            <v>-2.7108058537256063E-2</v>
          </cell>
          <cell r="R194">
            <v>-2.4120371256907561E-3</v>
          </cell>
          <cell r="S194">
            <v>-7.260643646154882E-4</v>
          </cell>
        </row>
        <row r="195">
          <cell r="D195">
            <v>3.8763016678220685E-2</v>
          </cell>
          <cell r="L195">
            <v>1.5580443950672374E-2</v>
          </cell>
          <cell r="R195">
            <v>2.168796486972191E-2</v>
          </cell>
          <cell r="S195">
            <v>-3.8510841314780553E-3</v>
          </cell>
        </row>
        <row r="196">
          <cell r="D196">
            <v>9.5127454546097834E-3</v>
          </cell>
          <cell r="L196">
            <v>-2.1571302601890663E-2</v>
          </cell>
          <cell r="R196">
            <v>9.4152519870409224E-3</v>
          </cell>
          <cell r="S196">
            <v>-1.3126299959365055E-2</v>
          </cell>
        </row>
        <row r="197">
          <cell r="D197">
            <v>-7.1755866705375926E-2</v>
          </cell>
          <cell r="L197">
            <v>-2.4131900456531796E-2</v>
          </cell>
          <cell r="R197">
            <v>6.0027280526556972E-3</v>
          </cell>
          <cell r="S197">
            <v>-4.5116350650757392E-2</v>
          </cell>
        </row>
        <row r="198">
          <cell r="D198">
            <v>-1.1973464316061833E-2</v>
          </cell>
          <cell r="L198">
            <v>-1.520181898642714E-2</v>
          </cell>
          <cell r="R198">
            <v>-3.7301244009667126E-3</v>
          </cell>
          <cell r="S198">
            <v>-2.4483957048364972E-2</v>
          </cell>
        </row>
        <row r="199">
          <cell r="D199">
            <v>5.9536386207527769E-2</v>
          </cell>
          <cell r="L199">
            <v>4.4642464815850103E-2</v>
          </cell>
          <cell r="R199">
            <v>-2.6530900689284861E-2</v>
          </cell>
          <cell r="S199">
            <v>8.4820048798157396E-2</v>
          </cell>
        </row>
        <row r="200">
          <cell r="D200">
            <v>2.3620332491635532E-2</v>
          </cell>
          <cell r="L200">
            <v>-4.6805573269703693E-4</v>
          </cell>
          <cell r="R200">
            <v>-2.299371319814153E-2</v>
          </cell>
          <cell r="S200">
            <v>-2.9573172803394832E-2</v>
          </cell>
        </row>
        <row r="201">
          <cell r="D201">
            <v>-1.8704274484085182E-2</v>
          </cell>
          <cell r="L201">
            <v>-1.2143079587816019E-2</v>
          </cell>
          <cell r="R201">
            <v>2.4782835571947048E-2</v>
          </cell>
          <cell r="S201">
            <v>3.8877917745498314E-2</v>
          </cell>
        </row>
        <row r="202">
          <cell r="D202">
            <v>3.7128947929526257E-2</v>
          </cell>
          <cell r="L202">
            <v>1.6543253529741175E-2</v>
          </cell>
          <cell r="R202">
            <v>1.923313586465443E-2</v>
          </cell>
          <cell r="S202">
            <v>9.3401748513063931E-5</v>
          </cell>
        </row>
        <row r="203">
          <cell r="D203">
            <v>1.4320242005006811E-2</v>
          </cell>
          <cell r="L203">
            <v>1.5754702686837208E-2</v>
          </cell>
          <cell r="R203">
            <v>8.1793416308731659E-3</v>
          </cell>
          <cell r="S203">
            <v>8.580665370957799E-2</v>
          </cell>
        </row>
        <row r="204">
          <cell r="D204">
            <v>2.3058318572012571E-2</v>
          </cell>
          <cell r="L204">
            <v>4.0856572980050743E-2</v>
          </cell>
          <cell r="R204">
            <v>-1.7618887529642913E-2</v>
          </cell>
          <cell r="S204">
            <v>-2.5654158584878073E-2</v>
          </cell>
        </row>
        <row r="205">
          <cell r="D205">
            <v>-1.701800358939709E-2</v>
          </cell>
          <cell r="L205">
            <v>2.449517371950094E-3</v>
          </cell>
          <cell r="R205">
            <v>2.5437504327918491E-2</v>
          </cell>
          <cell r="S205">
            <v>-1.6061514070498072E-2</v>
          </cell>
        </row>
        <row r="206">
          <cell r="D206">
            <v>4.8432006178485087E-2</v>
          </cell>
          <cell r="L206">
            <v>1.5190973814020792E-2</v>
          </cell>
          <cell r="R206">
            <v>1.0430030389879039E-3</v>
          </cell>
          <cell r="S206">
            <v>7.8426985836452315E-3</v>
          </cell>
        </row>
        <row r="207">
          <cell r="D207">
            <v>3.5700900761188592E-3</v>
          </cell>
          <cell r="L207">
            <v>5.9445628049457078E-3</v>
          </cell>
          <cell r="R207">
            <v>3.9553646795581973E-2</v>
          </cell>
          <cell r="S207">
            <v>-6.0170442253663567E-2</v>
          </cell>
        </row>
        <row r="208">
          <cell r="D208">
            <v>-6.67050843310657E-3</v>
          </cell>
          <cell r="L208">
            <v>-1.1853310192645794E-2</v>
          </cell>
          <cell r="R208">
            <v>2.1209444220227712E-2</v>
          </cell>
          <cell r="S208">
            <v>9.8349915720962217E-2</v>
          </cell>
        </row>
        <row r="209">
          <cell r="D209">
            <v>-4.9475123886319472E-2</v>
          </cell>
          <cell r="L209">
            <v>-8.9429333179721349E-3</v>
          </cell>
          <cell r="R209">
            <v>1.7536452828197699E-2</v>
          </cell>
          <cell r="S209">
            <v>-4.6014634765259452E-2</v>
          </cell>
        </row>
        <row r="210">
          <cell r="D210">
            <v>-7.3001038244565608E-3</v>
          </cell>
          <cell r="L210">
            <v>-5.6575421928004577E-3</v>
          </cell>
          <cell r="R210">
            <v>2.5149139298048049E-3</v>
          </cell>
          <cell r="S210">
            <v>-3.1074682530526539E-2</v>
          </cell>
        </row>
        <row r="211">
          <cell r="D211">
            <v>-4.7450990494345424E-3</v>
          </cell>
          <cell r="L211">
            <v>-8.2222116960111169E-3</v>
          </cell>
          <cell r="R211">
            <v>1.1209819627996864E-2</v>
          </cell>
          <cell r="S211">
            <v>-2.4557107055308926E-2</v>
          </cell>
        </row>
        <row r="212">
          <cell r="D212">
            <v>5.1966965878776028E-2</v>
          </cell>
          <cell r="L212">
            <v>1.0073743253793843E-2</v>
          </cell>
          <cell r="R212">
            <v>-2.28808756382054E-3</v>
          </cell>
          <cell r="S212">
            <v>1.8364638298850988E-2</v>
          </cell>
        </row>
        <row r="213">
          <cell r="D213">
            <v>3.1950108096936214E-2</v>
          </cell>
          <cell r="L213">
            <v>3.0771725165229302E-2</v>
          </cell>
          <cell r="R213">
            <v>-6.9696214918442152E-4</v>
          </cell>
          <cell r="S213">
            <v>2.2691577813161844E-2</v>
          </cell>
        </row>
        <row r="214">
          <cell r="D214">
            <v>5.6434743354166761E-2</v>
          </cell>
          <cell r="L214">
            <v>1.6928679784371292E-2</v>
          </cell>
          <cell r="R214">
            <v>-2.7877244315592693E-2</v>
          </cell>
          <cell r="S214">
            <v>-5.2356685591755985E-2</v>
          </cell>
        </row>
        <row r="215">
          <cell r="D215">
            <v>1.8499292828985103E-2</v>
          </cell>
          <cell r="L215">
            <v>5.5927378173004083E-3</v>
          </cell>
          <cell r="R215">
            <v>-1.1331198063154123E-2</v>
          </cell>
          <cell r="S215">
            <v>7.4301233123677413E-3</v>
          </cell>
        </row>
        <row r="216">
          <cell r="D216">
            <v>-1.836715097168784E-2</v>
          </cell>
          <cell r="L216">
            <v>8.5770547928387675E-3</v>
          </cell>
          <cell r="R216">
            <v>1.768966919902102E-2</v>
          </cell>
          <cell r="S216">
            <v>-6.6730445434580038E-2</v>
          </cell>
        </row>
        <row r="217">
          <cell r="D217">
            <v>-3.0769832741895264E-2</v>
          </cell>
          <cell r="L217">
            <v>-1.6383769185341013E-2</v>
          </cell>
          <cell r="R217">
            <v>1.0585586036298559E-2</v>
          </cell>
          <cell r="S217">
            <v>-4.7350641459674749E-3</v>
          </cell>
        </row>
        <row r="218">
          <cell r="D218">
            <v>-2.3380680583072966E-2</v>
          </cell>
          <cell r="L218">
            <v>-1.1090352101640111E-2</v>
          </cell>
          <cell r="R218">
            <v>1.3063077669573951E-2</v>
          </cell>
          <cell r="S218">
            <v>-1.5648732620077065E-2</v>
          </cell>
        </row>
        <row r="219">
          <cell r="D219">
            <v>1.196226259106048E-2</v>
          </cell>
          <cell r="L219">
            <v>-1.3033868533416371E-3</v>
          </cell>
          <cell r="R219">
            <v>-3.9998432230007194E-2</v>
          </cell>
          <cell r="S219">
            <v>-5.9569508121072104E-2</v>
          </cell>
        </row>
        <row r="220">
          <cell r="D220">
            <v>-2.0582810423219411E-2</v>
          </cell>
          <cell r="L220">
            <v>7.6458749242647173E-4</v>
          </cell>
          <cell r="R220">
            <v>-6.5184008661288012E-2</v>
          </cell>
          <cell r="S220">
            <v>-4.6114162295568889E-2</v>
          </cell>
        </row>
        <row r="221">
          <cell r="D221">
            <v>2.691846820906596E-2</v>
          </cell>
          <cell r="L221">
            <v>-9.0342983693532108E-3</v>
          </cell>
          <cell r="R221">
            <v>2.1799716154666332E-2</v>
          </cell>
          <cell r="S221">
            <v>4.2438469683766328E-2</v>
          </cell>
        </row>
        <row r="222">
          <cell r="D222">
            <v>-2.8741826543076776E-2</v>
          </cell>
          <cell r="L222">
            <v>-2.0653174186155643E-2</v>
          </cell>
          <cell r="R222">
            <v>5.5103538600328322E-5</v>
          </cell>
          <cell r="S222">
            <v>-3.4799578863586922E-2</v>
          </cell>
        </row>
        <row r="223">
          <cell r="D223">
            <v>-9.4711651350473103E-3</v>
          </cell>
          <cell r="L223">
            <v>-5.4917002958113637E-3</v>
          </cell>
          <cell r="R223">
            <v>2.7150258165067137E-2</v>
          </cell>
          <cell r="S223">
            <v>4.0637155060836844E-2</v>
          </cell>
        </row>
        <row r="224">
          <cell r="D224">
            <v>1.5057810366410962E-2</v>
          </cell>
          <cell r="L224">
            <v>3.2257484521247992E-2</v>
          </cell>
          <cell r="R224">
            <v>-6.6869655154482826E-3</v>
          </cell>
          <cell r="S224">
            <v>2.8887369195457029E-4</v>
          </cell>
        </row>
        <row r="225">
          <cell r="D225">
            <v>3.4848288537302929E-2</v>
          </cell>
          <cell r="L225">
            <v>5.7736305777160712E-3</v>
          </cell>
          <cell r="R225">
            <v>3.456918690494204E-2</v>
          </cell>
          <cell r="S225">
            <v>6.647030942624732E-2</v>
          </cell>
        </row>
        <row r="226">
          <cell r="D226">
            <v>3.6404499244921951E-2</v>
          </cell>
          <cell r="L226">
            <v>1.9777226176669993E-2</v>
          </cell>
          <cell r="R226">
            <v>2.8713766887385903E-2</v>
          </cell>
          <cell r="S226">
            <v>-8.2019332441627388E-2</v>
          </cell>
        </row>
        <row r="227">
          <cell r="D227">
            <v>-1.5586759233712E-2</v>
          </cell>
          <cell r="L227">
            <v>-4.0767578507401314E-3</v>
          </cell>
          <cell r="R227">
            <v>1.5484118478440466E-2</v>
          </cell>
          <cell r="S227">
            <v>3.8923633675690163E-2</v>
          </cell>
        </row>
        <row r="228">
          <cell r="D228">
            <v>-8.6977732124947638E-3</v>
          </cell>
          <cell r="L228">
            <v>-2.8960241175728374E-3</v>
          </cell>
          <cell r="R228">
            <v>8.4843532965261891E-3</v>
          </cell>
          <cell r="S228">
            <v>1.7877302102787821E-2</v>
          </cell>
        </row>
        <row r="229">
          <cell r="D229">
            <v>3.8020030169047647E-2</v>
          </cell>
          <cell r="L229">
            <v>-1.2195945720630208E-2</v>
          </cell>
          <cell r="R229">
            <v>2.0273845386791695E-2</v>
          </cell>
          <cell r="S229">
            <v>-4.8155119509991323E-2</v>
          </cell>
        </row>
        <row r="230">
          <cell r="D230">
            <v>4.9853501965575475E-3</v>
          </cell>
          <cell r="L230">
            <v>8.5706951816075794E-3</v>
          </cell>
          <cell r="R230">
            <v>4.9813798323858289E-3</v>
          </cell>
          <cell r="S230">
            <v>5.7062053585106914E-3</v>
          </cell>
        </row>
        <row r="231">
          <cell r="D231">
            <v>1.2936288413305519E-3</v>
          </cell>
          <cell r="L231">
            <v>5.7060682517082739E-3</v>
          </cell>
          <cell r="R231">
            <v>-2.4005852989153101E-2</v>
          </cell>
          <cell r="S231">
            <v>-4.7506157064349727E-2</v>
          </cell>
        </row>
        <row r="232">
          <cell r="D232">
            <v>-5.1690006276894351E-2</v>
          </cell>
          <cell r="L232">
            <v>-1.6827609664136101E-2</v>
          </cell>
          <cell r="R232">
            <v>2.1247196959529709E-2</v>
          </cell>
          <cell r="S232">
            <v>1.7515819718690977E-2</v>
          </cell>
        </row>
        <row r="233">
          <cell r="D233">
            <v>-3.7247099737553135E-2</v>
          </cell>
          <cell r="L233">
            <v>-1.3364364742863843E-3</v>
          </cell>
          <cell r="R233">
            <v>-1.8136471814032024E-2</v>
          </cell>
          <cell r="S233">
            <v>2.7649217268641807E-2</v>
          </cell>
        </row>
        <row r="234">
          <cell r="D234">
            <v>2.3558069840867724E-4</v>
          </cell>
          <cell r="L234">
            <v>-3.1200829352013848E-3</v>
          </cell>
          <cell r="R234">
            <v>-2.0850899724623E-2</v>
          </cell>
          <cell r="S234">
            <v>-5.0904966980752926E-2</v>
          </cell>
        </row>
        <row r="235">
          <cell r="D235">
            <v>1.5801018045717541E-2</v>
          </cell>
          <cell r="L235">
            <v>1.8212262601279505E-2</v>
          </cell>
          <cell r="R235">
            <v>-1.1384336147539706E-2</v>
          </cell>
          <cell r="S235">
            <v>-5.8912816852212634E-4</v>
          </cell>
        </row>
        <row r="236">
          <cell r="D236">
            <v>-3.2272921566122381E-2</v>
          </cell>
          <cell r="L236">
            <v>-2.0929254455473778E-2</v>
          </cell>
          <cell r="R236">
            <v>5.2055143014640211E-2</v>
          </cell>
          <cell r="S236">
            <v>7.4812431928875586E-3</v>
          </cell>
        </row>
        <row r="237">
          <cell r="D237">
            <v>4.9664405464698191E-2</v>
          </cell>
          <cell r="L237">
            <v>1.6278593732212965E-2</v>
          </cell>
          <cell r="R237">
            <v>4.2345702463226749E-3</v>
          </cell>
          <cell r="S237">
            <v>1.9385762245312858E-2</v>
          </cell>
        </row>
        <row r="238">
          <cell r="D238">
            <v>-1.0057312863639978E-2</v>
          </cell>
          <cell r="L238">
            <v>-2.2334209755103585E-2</v>
          </cell>
          <cell r="R238">
            <v>-8.1418404234394059E-3</v>
          </cell>
          <cell r="S238">
            <v>-1.0562434060645776E-2</v>
          </cell>
        </row>
        <row r="239">
          <cell r="D239">
            <v>3.694402790761897E-2</v>
          </cell>
          <cell r="L239">
            <v>3.7046346114898432E-2</v>
          </cell>
          <cell r="R239">
            <v>2.2267848128658715E-2</v>
          </cell>
          <cell r="S239">
            <v>1.4861099800867542E-2</v>
          </cell>
        </row>
        <row r="240">
          <cell r="D240">
            <v>-1.4697051059999966E-2</v>
          </cell>
          <cell r="L240">
            <v>1.5505433511324718E-3</v>
          </cell>
          <cell r="R240">
            <v>2.1431924434893626E-2</v>
          </cell>
          <cell r="S240">
            <v>-7.1116824298868148E-3</v>
          </cell>
        </row>
        <row r="241">
          <cell r="D241">
            <v>3.0508053039060901E-2</v>
          </cell>
          <cell r="L241">
            <v>1.2272540816292254E-2</v>
          </cell>
          <cell r="R241">
            <v>4.8041810563023146E-2</v>
          </cell>
          <cell r="S241">
            <v>-2.4983491991010576E-2</v>
          </cell>
        </row>
        <row r="242">
          <cell r="D242">
            <v>2.8514348795738442E-3</v>
          </cell>
          <cell r="L242">
            <v>-1.0557699919043095E-2</v>
          </cell>
          <cell r="R242">
            <v>7.3274189933797002E-3</v>
          </cell>
          <cell r="S242">
            <v>-2.4345422582776791E-2</v>
          </cell>
        </row>
        <row r="243">
          <cell r="D243">
            <v>3.2364017202575868E-2</v>
          </cell>
          <cell r="L243">
            <v>2.6573849853308573E-3</v>
          </cell>
          <cell r="R243">
            <v>2.0834329078947618E-2</v>
          </cell>
          <cell r="S243">
            <v>2.759767709953747E-2</v>
          </cell>
        </row>
        <row r="244">
          <cell r="D244">
            <v>-2.4783398878466034E-2</v>
          </cell>
          <cell r="L244">
            <v>-2.2734047170761218E-2</v>
          </cell>
          <cell r="R244">
            <v>1.1032432201490984E-2</v>
          </cell>
          <cell r="S244">
            <v>-7.4623421253721244E-3</v>
          </cell>
        </row>
        <row r="245">
          <cell r="D245">
            <v>1.5684989922062353E-3</v>
          </cell>
          <cell r="L245">
            <v>-3.8807995432775799E-3</v>
          </cell>
          <cell r="R245">
            <v>-7.8346628897007619E-3</v>
          </cell>
          <cell r="S245">
            <v>1.1641544565941919E-3</v>
          </cell>
        </row>
        <row r="246">
          <cell r="D246">
            <v>3.2150281165795658E-2</v>
          </cell>
          <cell r="L246">
            <v>2.8090280128659773E-2</v>
          </cell>
          <cell r="R246">
            <v>-4.7494426921465861E-3</v>
          </cell>
          <cell r="S246">
            <v>-4.4725681194172889E-2</v>
          </cell>
        </row>
        <row r="247">
          <cell r="D247">
            <v>1.5243989471940278E-3</v>
          </cell>
          <cell r="L247">
            <v>-9.7447648146677945E-3</v>
          </cell>
          <cell r="R247">
            <v>-1.2666789496050086E-3</v>
          </cell>
          <cell r="S247">
            <v>-6.0334248748515522E-3</v>
          </cell>
        </row>
        <row r="248">
          <cell r="D248">
            <v>8.6992212885794729E-3</v>
          </cell>
          <cell r="L248">
            <v>1.8684902043350604E-2</v>
          </cell>
          <cell r="R248">
            <v>-3.9854231164559075E-3</v>
          </cell>
          <cell r="S248">
            <v>-7.5967593297863491E-4</v>
          </cell>
        </row>
        <row r="249">
          <cell r="D249">
            <v>-9.7022221719866852E-3</v>
          </cell>
          <cell r="L249">
            <v>-2.8694189770281708E-2</v>
          </cell>
          <cell r="R249">
            <v>1.5409676616464063E-2</v>
          </cell>
          <cell r="S249">
            <v>3.6557289262311964E-2</v>
          </cell>
        </row>
        <row r="250">
          <cell r="D250">
            <v>-1.1104151894183123E-2</v>
          </cell>
          <cell r="L250">
            <v>-2.6632451665482559E-3</v>
          </cell>
          <cell r="R250">
            <v>3.735110708805274E-2</v>
          </cell>
          <cell r="S250">
            <v>-5.4009989911165263E-3</v>
          </cell>
        </row>
        <row r="251">
          <cell r="D251">
            <v>-5.7247888551287263E-3</v>
          </cell>
          <cell r="L251">
            <v>-1.3363396937878247E-2</v>
          </cell>
          <cell r="R251">
            <v>2.2676429187627523E-2</v>
          </cell>
          <cell r="S251">
            <v>3.3758314166539238E-2</v>
          </cell>
        </row>
        <row r="252">
          <cell r="D252">
            <v>4.1852521482736771E-2</v>
          </cell>
          <cell r="L252">
            <v>1.4005968306166627E-2</v>
          </cell>
          <cell r="R252">
            <v>1.0659471033700905E-2</v>
          </cell>
          <cell r="S252">
            <v>7.8398217952841982E-3</v>
          </cell>
        </row>
        <row r="253">
          <cell r="D253">
            <v>-5.4623879353928428E-2</v>
          </cell>
          <cell r="L253">
            <v>-2.1316607378967456E-2</v>
          </cell>
          <cell r="R253">
            <v>1.3823073345469256E-2</v>
          </cell>
          <cell r="S253">
            <v>-3.2190224317157096E-2</v>
          </cell>
        </row>
        <row r="254">
          <cell r="D254">
            <v>3.5976257437964065E-3</v>
          </cell>
          <cell r="L254">
            <v>-1.0531821366444372E-2</v>
          </cell>
          <cell r="R254">
            <v>-1.2637292992381718E-2</v>
          </cell>
          <cell r="S254">
            <v>-1.8132539749513545E-2</v>
          </cell>
        </row>
        <row r="255">
          <cell r="D255">
            <v>4.3458603129959084E-2</v>
          </cell>
          <cell r="L255">
            <v>2.2195231174563901E-2</v>
          </cell>
          <cell r="R255">
            <v>-7.0258694537915205E-3</v>
          </cell>
          <cell r="S255">
            <v>-1.6354811129281444E-2</v>
          </cell>
        </row>
        <row r="256">
          <cell r="D256">
            <v>-4.7226614595936578E-3</v>
          </cell>
          <cell r="L256">
            <v>1.5737918300715581E-3</v>
          </cell>
          <cell r="R256">
            <v>3.3490559105384945E-3</v>
          </cell>
          <cell r="S256">
            <v>8.6132066805219842E-3</v>
          </cell>
        </row>
        <row r="257">
          <cell r="D257">
            <v>2.0491299290006149E-2</v>
          </cell>
          <cell r="L257">
            <v>1.4642407432513771E-2</v>
          </cell>
          <cell r="R257">
            <v>5.5412655432868505E-3</v>
          </cell>
          <cell r="S257">
            <v>-2.6124075966506261E-2</v>
          </cell>
        </row>
        <row r="258">
          <cell r="D258">
            <v>-1.9023003789641502E-2</v>
          </cell>
          <cell r="L258">
            <v>-1.0918133609499892E-3</v>
          </cell>
          <cell r="R258">
            <v>-4.8462965753410369E-3</v>
          </cell>
          <cell r="S258">
            <v>3.1764764784406999E-2</v>
          </cell>
        </row>
        <row r="259">
          <cell r="D259">
            <v>2.9087843848219608E-2</v>
          </cell>
          <cell r="L259">
            <v>4.9025364444126307E-3</v>
          </cell>
          <cell r="R259">
            <v>-1.7163186066463089E-2</v>
          </cell>
          <cell r="S259">
            <v>-1.1578640476613687E-2</v>
          </cell>
        </row>
        <row r="260">
          <cell r="D260">
            <v>2.7220152709461098E-2</v>
          </cell>
          <cell r="L260">
            <v>1.7285884142623331E-2</v>
          </cell>
          <cell r="R260">
            <v>-1.0908739620640656E-3</v>
          </cell>
          <cell r="S260">
            <v>-8.3802911729832438E-3</v>
          </cell>
        </row>
        <row r="261">
          <cell r="D261">
            <v>3.7504975463285684E-2</v>
          </cell>
          <cell r="L261">
            <v>3.4509043585443822E-2</v>
          </cell>
          <cell r="R261">
            <v>3.8926124678998912E-2</v>
          </cell>
          <cell r="S261">
            <v>-2.386831431258795E-2</v>
          </cell>
        </row>
        <row r="262">
          <cell r="D262">
            <v>1.6306341913066458E-2</v>
          </cell>
          <cell r="L262">
            <v>7.9085599784647354E-3</v>
          </cell>
          <cell r="R262">
            <v>1.0851231077866426E-2</v>
          </cell>
          <cell r="S262">
            <v>2.3997057459436505E-2</v>
          </cell>
        </row>
        <row r="263">
          <cell r="D263">
            <v>2.5131140750349168E-2</v>
          </cell>
          <cell r="L263">
            <v>1.3245462538479247E-2</v>
          </cell>
          <cell r="R263">
            <v>2.5696104384907763E-2</v>
          </cell>
          <cell r="S263">
            <v>1.0708394860014188E-2</v>
          </cell>
        </row>
        <row r="264">
          <cell r="D264">
            <v>-6.4120465908277247E-3</v>
          </cell>
          <cell r="L264">
            <v>-1.3403822829636036E-2</v>
          </cell>
          <cell r="R264">
            <v>4.0907233282942625E-4</v>
          </cell>
          <cell r="S264">
            <v>-1.5995831566541427E-2</v>
          </cell>
        </row>
        <row r="265">
          <cell r="D265">
            <v>9.8120932407542272E-2</v>
          </cell>
          <cell r="L265">
            <v>1.2685534126111175E-3</v>
          </cell>
          <cell r="R265">
            <v>1.6607396317285584E-3</v>
          </cell>
          <cell r="S265">
            <v>-1.0358512844223322E-2</v>
          </cell>
        </row>
        <row r="266">
          <cell r="D266">
            <v>-1.0888313806322936E-2</v>
          </cell>
          <cell r="L266">
            <v>-1.0275280855158497E-2</v>
          </cell>
          <cell r="R266">
            <v>-8.1978825333614089E-3</v>
          </cell>
          <cell r="S266">
            <v>4.6217912702409054E-2</v>
          </cell>
        </row>
        <row r="267">
          <cell r="D267">
            <v>3.6697730923764826E-3</v>
          </cell>
          <cell r="L267">
            <v>1.8073265415135875E-2</v>
          </cell>
          <cell r="R267">
            <v>1.3816331675278775E-2</v>
          </cell>
          <cell r="S267">
            <v>-8.8309814787212275E-3</v>
          </cell>
        </row>
        <row r="268">
          <cell r="D268">
            <v>-1.6365183741825939E-2</v>
          </cell>
          <cell r="L268">
            <v>1.9087548354943085E-2</v>
          </cell>
          <cell r="R268">
            <v>1.077960988866344E-2</v>
          </cell>
          <cell r="S268">
            <v>-9.4859810473328886E-3</v>
          </cell>
        </row>
        <row r="269">
          <cell r="D269">
            <v>8.8493419824131614E-4</v>
          </cell>
          <cell r="L269">
            <v>-7.0697984116134815E-3</v>
          </cell>
          <cell r="R269">
            <v>-1.310779755884762E-2</v>
          </cell>
          <cell r="S269">
            <v>-3.8582208718046733E-2</v>
          </cell>
        </row>
        <row r="270">
          <cell r="D270">
            <v>0.13987675179089987</v>
          </cell>
          <cell r="L270">
            <v>1.9670510098721561E-3</v>
          </cell>
          <cell r="R270">
            <v>3.3140208059966895E-3</v>
          </cell>
          <cell r="S270">
            <v>-4.0561120543549822E-2</v>
          </cell>
        </row>
        <row r="271">
          <cell r="D271">
            <v>7.9364918002122753E-3</v>
          </cell>
          <cell r="L271">
            <v>1.8881980424276801E-3</v>
          </cell>
          <cell r="R271">
            <v>1.4232202933902151E-3</v>
          </cell>
          <cell r="S271">
            <v>-1.1876395949815379E-3</v>
          </cell>
        </row>
        <row r="272">
          <cell r="D272">
            <v>-4.0669052971736619E-2</v>
          </cell>
          <cell r="L272">
            <v>1.7271137679697901E-2</v>
          </cell>
          <cell r="R272">
            <v>2.4037124314921908E-2</v>
          </cell>
          <cell r="S272">
            <v>-8.2361062692043671E-3</v>
          </cell>
        </row>
        <row r="273">
          <cell r="D273">
            <v>-1.0640601870542388E-2</v>
          </cell>
          <cell r="L273">
            <v>2.0415740120871995E-2</v>
          </cell>
          <cell r="R273">
            <v>-1.7455852088674388E-2</v>
          </cell>
          <cell r="S273">
            <v>-1.4817069477447993E-2</v>
          </cell>
        </row>
        <row r="274">
          <cell r="D274">
            <v>2.0500570109675875E-2</v>
          </cell>
          <cell r="L274">
            <v>-2.1627824667529771E-2</v>
          </cell>
          <cell r="R274">
            <v>2.1987288672623936E-2</v>
          </cell>
          <cell r="S274">
            <v>2.7677116792074255E-2</v>
          </cell>
        </row>
        <row r="275">
          <cell r="D275">
            <v>1.3008947881945732E-2</v>
          </cell>
          <cell r="L275">
            <v>1.3278445814151274E-2</v>
          </cell>
          <cell r="R275">
            <v>-1.8945211252018035E-2</v>
          </cell>
          <cell r="S275">
            <v>8.8878983883780571E-3</v>
          </cell>
        </row>
        <row r="276">
          <cell r="D276">
            <v>4.437559619749365E-2</v>
          </cell>
          <cell r="L276">
            <v>1.6463516462198458E-2</v>
          </cell>
          <cell r="R276">
            <v>4.4002681134828539E-2</v>
          </cell>
          <cell r="S276">
            <v>-7.0586532272095687E-3</v>
          </cell>
        </row>
        <row r="277">
          <cell r="D277">
            <v>-1.8366105578532355E-2</v>
          </cell>
          <cell r="L277">
            <v>-1.5596253606908639E-2</v>
          </cell>
          <cell r="R277">
            <v>6.374438357009707E-3</v>
          </cell>
          <cell r="S277">
            <v>-2.1071489417009672E-2</v>
          </cell>
        </row>
        <row r="278">
          <cell r="D278">
            <v>-1.2683713309978861E-3</v>
          </cell>
          <cell r="L278">
            <v>1.9183015942971782E-3</v>
          </cell>
          <cell r="R278">
            <v>1.7740568780013725E-2</v>
          </cell>
          <cell r="S278">
            <v>1.2767484259047175E-2</v>
          </cell>
        </row>
        <row r="279">
          <cell r="D279">
            <v>-3.0004708471332964E-2</v>
          </cell>
          <cell r="L279">
            <v>-2.8237881119413055E-2</v>
          </cell>
          <cell r="R279">
            <v>-6.4612177461999057E-3</v>
          </cell>
          <cell r="S279">
            <v>9.3126526257737499E-3</v>
          </cell>
        </row>
        <row r="280">
          <cell r="D280">
            <v>-9.4929568718367108E-3</v>
          </cell>
          <cell r="L280">
            <v>1.1401751742603494E-3</v>
          </cell>
          <cell r="R280">
            <v>7.5477744273444594E-3</v>
          </cell>
          <cell r="S280">
            <v>2.4816242775231409E-2</v>
          </cell>
        </row>
        <row r="281">
          <cell r="D281">
            <v>-2.9738207640819248E-3</v>
          </cell>
          <cell r="L281">
            <v>7.0742543942483582E-3</v>
          </cell>
          <cell r="R281">
            <v>-1.9369069234556162E-2</v>
          </cell>
          <cell r="S281">
            <v>-5.4143296439098723E-3</v>
          </cell>
        </row>
        <row r="282">
          <cell r="D282">
            <v>-6.7119974176563457E-2</v>
          </cell>
          <cell r="L282">
            <v>1.904243234635139E-2</v>
          </cell>
          <cell r="R282">
            <v>6.1680299937060586E-4</v>
          </cell>
          <cell r="S282">
            <v>9.5169599283562948E-4</v>
          </cell>
        </row>
        <row r="283">
          <cell r="D283">
            <v>1.5278701490122781E-2</v>
          </cell>
          <cell r="L283">
            <v>1.0538718844186112E-2</v>
          </cell>
          <cell r="R283">
            <v>3.4508572000089832E-2</v>
          </cell>
          <cell r="S283">
            <v>-2.3582908342941744E-3</v>
          </cell>
        </row>
        <row r="284">
          <cell r="D284">
            <v>1.7494201795231756E-3</v>
          </cell>
          <cell r="L284">
            <v>-1.087850066648699E-2</v>
          </cell>
          <cell r="R284">
            <v>-5.5994448860782354E-3</v>
          </cell>
          <cell r="S284">
            <v>7.1238438332722632E-3</v>
          </cell>
        </row>
        <row r="285">
          <cell r="D285">
            <v>1.7117912226654042E-2</v>
          </cell>
          <cell r="L285">
            <v>-3.3155267743950612E-3</v>
          </cell>
          <cell r="R285">
            <v>2.4538157966449252E-2</v>
          </cell>
          <cell r="S285">
            <v>-1.5838936677869779E-2</v>
          </cell>
        </row>
        <row r="286">
          <cell r="D286">
            <v>2.8164455922311538E-2</v>
          </cell>
          <cell r="L286">
            <v>2.0580548194631731E-2</v>
          </cell>
          <cell r="R286">
            <v>-2.5687272381495867E-2</v>
          </cell>
          <cell r="S286">
            <v>1.5985050209509181E-2</v>
          </cell>
        </row>
        <row r="287">
          <cell r="D287">
            <v>5.6956503369457234E-2</v>
          </cell>
          <cell r="L287">
            <v>-1.7175274407856822E-2</v>
          </cell>
          <cell r="R287">
            <v>1.9075029727639151E-3</v>
          </cell>
          <cell r="S287">
            <v>-1.3011654866947038E-2</v>
          </cell>
        </row>
        <row r="288">
          <cell r="D288">
            <v>1.4380465751206994E-2</v>
          </cell>
          <cell r="L288">
            <v>9.3238700477966674E-3</v>
          </cell>
          <cell r="R288">
            <v>-9.4354693580975448E-3</v>
          </cell>
          <cell r="S288">
            <v>3.7106805029688186E-3</v>
          </cell>
        </row>
        <row r="289">
          <cell r="D289">
            <v>-4.6424176865641487E-2</v>
          </cell>
          <cell r="L289">
            <v>-2.1729449437304371E-3</v>
          </cell>
          <cell r="R289">
            <v>1.9578133374927476E-2</v>
          </cell>
          <cell r="S289">
            <v>2.2274388107809295E-2</v>
          </cell>
        </row>
        <row r="290">
          <cell r="D290">
            <v>1.8296777659541297E-2</v>
          </cell>
          <cell r="L290">
            <v>7.1014130406752418E-3</v>
          </cell>
          <cell r="R290">
            <v>-1.7866475562748813E-2</v>
          </cell>
          <cell r="S290">
            <v>-3.6757403791179616E-2</v>
          </cell>
        </row>
        <row r="291">
          <cell r="D291">
            <v>6.0645874761576346E-2</v>
          </cell>
          <cell r="L291">
            <v>1.7527461797345545E-2</v>
          </cell>
          <cell r="R291">
            <v>-6.4337845179277073E-3</v>
          </cell>
          <cell r="S291">
            <v>1.0031410261724114E-2</v>
          </cell>
        </row>
        <row r="292">
          <cell r="D292">
            <v>-1.5278143129761834E-2</v>
          </cell>
          <cell r="L292">
            <v>1.6025243232264952E-3</v>
          </cell>
          <cell r="R292">
            <v>2.8259373053720879E-2</v>
          </cell>
          <cell r="S292">
            <v>1.5199230076238204E-2</v>
          </cell>
        </row>
        <row r="293">
          <cell r="D293">
            <v>3.3794003164818287E-2</v>
          </cell>
          <cell r="L293">
            <v>-6.3129175161891204E-3</v>
          </cell>
          <cell r="R293">
            <v>6.3990835077492739E-3</v>
          </cell>
          <cell r="S293">
            <v>-1.1121744967342931E-2</v>
          </cell>
        </row>
        <row r="294">
          <cell r="D294">
            <v>1.2779168451991563E-2</v>
          </cell>
          <cell r="L294">
            <v>2.7732938962212739E-3</v>
          </cell>
          <cell r="R294">
            <v>2.025280711364735E-2</v>
          </cell>
          <cell r="S294">
            <v>2.3849217635879896E-4</v>
          </cell>
        </row>
        <row r="295">
          <cell r="D295">
            <v>-1.159086017115829E-2</v>
          </cell>
          <cell r="L295">
            <v>-2.0835168346890032E-2</v>
          </cell>
          <cell r="R295">
            <v>3.5733398572926345E-3</v>
          </cell>
          <cell r="S295">
            <v>-2.2596343646934136E-2</v>
          </cell>
        </row>
        <row r="296">
          <cell r="D296">
            <v>0.14873106119272839</v>
          </cell>
          <cell r="L296">
            <v>2.5868597810672744E-2</v>
          </cell>
          <cell r="R296">
            <v>9.927805236551606E-3</v>
          </cell>
          <cell r="S296">
            <v>1.9160038611668002E-2</v>
          </cell>
        </row>
        <row r="297">
          <cell r="D297">
            <v>3.512291344579288E-2</v>
          </cell>
          <cell r="L297">
            <v>1.004983845450802E-2</v>
          </cell>
          <cell r="R297">
            <v>2.3055092896208954E-2</v>
          </cell>
          <cell r="S297">
            <v>4.1650598132521449E-3</v>
          </cell>
        </row>
        <row r="298">
          <cell r="D298">
            <v>2.7106714631136786E-2</v>
          </cell>
          <cell r="L298">
            <v>1.036196962465219E-2</v>
          </cell>
          <cell r="R298">
            <v>4.1312948035552029E-2</v>
          </cell>
          <cell r="S298">
            <v>-3.8079725722663452E-3</v>
          </cell>
        </row>
        <row r="299">
          <cell r="D299">
            <v>3.0539332215825166E-2</v>
          </cell>
          <cell r="L299">
            <v>-4.7920693713826568E-3</v>
          </cell>
          <cell r="R299">
            <v>1.3114418146476082E-2</v>
          </cell>
          <cell r="S299">
            <v>3.1919237665903755E-3</v>
          </cell>
        </row>
        <row r="300">
          <cell r="D300">
            <v>-5.1221469462515712E-3</v>
          </cell>
          <cell r="L300">
            <v>1.5511024958224207E-2</v>
          </cell>
          <cell r="R300">
            <v>1.8771939587709233E-2</v>
          </cell>
          <cell r="S300">
            <v>6.3592011626399346E-3</v>
          </cell>
        </row>
        <row r="301">
          <cell r="D301">
            <v>-2.0838455864273575E-2</v>
          </cell>
          <cell r="L301">
            <v>1.3916011189499145E-2</v>
          </cell>
          <cell r="R301">
            <v>-9.4783238690856648E-3</v>
          </cell>
          <cell r="S301">
            <v>3.0662772782579402E-3</v>
          </cell>
        </row>
        <row r="302">
          <cell r="D302">
            <v>-5.0069745471126303E-4</v>
          </cell>
          <cell r="L302">
            <v>4.909784275799467E-4</v>
          </cell>
          <cell r="R302">
            <v>6.0755076372792267E-3</v>
          </cell>
          <cell r="S302">
            <v>9.2045424770263048E-2</v>
          </cell>
        </row>
        <row r="303">
          <cell r="D303">
            <v>-7.7654642886687553E-3</v>
          </cell>
          <cell r="L303">
            <v>-7.4849367184753879E-3</v>
          </cell>
          <cell r="R303">
            <v>-6.1618321210413756E-3</v>
          </cell>
          <cell r="S303">
            <v>-4.7264816852815601E-3</v>
          </cell>
        </row>
        <row r="304">
          <cell r="D304">
            <v>1.3759605245077466E-2</v>
          </cell>
          <cell r="L304">
            <v>7.940118199263102E-3</v>
          </cell>
          <cell r="R304">
            <v>2.3889776756663969E-2</v>
          </cell>
          <cell r="S304">
            <v>-2.0220003664287486E-2</v>
          </cell>
        </row>
        <row r="305">
          <cell r="D305">
            <v>7.3461213362675526E-3</v>
          </cell>
          <cell r="L305">
            <v>8.4885819760895931E-3</v>
          </cell>
          <cell r="R305">
            <v>2.4964993591692838E-2</v>
          </cell>
          <cell r="S305">
            <v>-4.1330177333518778E-2</v>
          </cell>
        </row>
        <row r="306">
          <cell r="D306">
            <v>-1.1619547691095744E-2</v>
          </cell>
          <cell r="L306">
            <v>-8.6205660838692966E-3</v>
          </cell>
          <cell r="R306">
            <v>-2.7637776409530131E-3</v>
          </cell>
          <cell r="S306">
            <v>3.6487118391943293E-3</v>
          </cell>
        </row>
        <row r="307">
          <cell r="D307">
            <v>2.3386866092638847E-2</v>
          </cell>
          <cell r="L307">
            <v>-1.1255378752640488E-2</v>
          </cell>
          <cell r="R307">
            <v>6.815968061413975E-3</v>
          </cell>
          <cell r="S307">
            <v>0.1330607837294859</v>
          </cell>
        </row>
        <row r="308">
          <cell r="D308">
            <v>3.8738804720850561E-2</v>
          </cell>
          <cell r="L308">
            <v>2.3327799308509478E-2</v>
          </cell>
          <cell r="R308">
            <v>6.7323779360546742E-3</v>
          </cell>
          <cell r="S308">
            <v>1.2041138641576011E-3</v>
          </cell>
        </row>
        <row r="309">
          <cell r="D309">
            <v>5.2588713280605326E-2</v>
          </cell>
          <cell r="L309">
            <v>2.1020650483716263E-3</v>
          </cell>
          <cell r="R309">
            <v>2.3039460527200004E-2</v>
          </cell>
          <cell r="S309">
            <v>-6.3708513498936623E-2</v>
          </cell>
        </row>
        <row r="310">
          <cell r="D310">
            <v>6.594021019937113E-3</v>
          </cell>
          <cell r="L310">
            <v>1.3219824484199005E-2</v>
          </cell>
          <cell r="R310">
            <v>2.6372977587899006E-2</v>
          </cell>
          <cell r="S310">
            <v>-3.7013579458441394E-2</v>
          </cell>
        </row>
        <row r="311">
          <cell r="D311">
            <v>8.8833719601342231E-3</v>
          </cell>
          <cell r="L311">
            <v>5.2632266846392994E-3</v>
          </cell>
          <cell r="R311">
            <v>-1.8196389489998584E-2</v>
          </cell>
          <cell r="S311">
            <v>3.8696959599674459E-2</v>
          </cell>
        </row>
        <row r="312">
          <cell r="D312">
            <v>4.3362784802799315E-2</v>
          </cell>
          <cell r="L312">
            <v>-1.7563881035526085E-3</v>
          </cell>
          <cell r="R312">
            <v>1.8806904361230614E-2</v>
          </cell>
          <cell r="S312">
            <v>-5.7979564792848826E-3</v>
          </cell>
        </row>
        <row r="313">
          <cell r="D313">
            <v>2.1101238205949446E-3</v>
          </cell>
          <cell r="L313">
            <v>-1.4739060228949552E-2</v>
          </cell>
          <cell r="R313">
            <v>2.2183320790148946E-2</v>
          </cell>
          <cell r="S313">
            <v>2.2192275407344704E-2</v>
          </cell>
        </row>
        <row r="314">
          <cell r="D314">
            <v>-3.2631933344362762E-2</v>
          </cell>
          <cell r="L314">
            <v>-2.7585694352693979E-2</v>
          </cell>
          <cell r="R314">
            <v>-1.1802466757466502E-2</v>
          </cell>
          <cell r="S314">
            <v>-6.5636388210658526E-3</v>
          </cell>
        </row>
        <row r="315">
          <cell r="D315">
            <v>5.1360660559543136E-2</v>
          </cell>
          <cell r="L315">
            <v>2.417920505315152E-2</v>
          </cell>
          <cell r="R315">
            <v>6.7642899839595733E-3</v>
          </cell>
          <cell r="S315">
            <v>-8.0326613149574594E-3</v>
          </cell>
        </row>
        <row r="316">
          <cell r="D316">
            <v>-1.7284561686225941E-2</v>
          </cell>
          <cell r="L316">
            <v>-1.369829453953253E-4</v>
          </cell>
          <cell r="R316">
            <v>-2.5203550607099716E-2</v>
          </cell>
          <cell r="S316">
            <v>-4.8011578642332478E-3</v>
          </cell>
        </row>
        <row r="317">
          <cell r="D317">
            <v>2.2011478817131946E-2</v>
          </cell>
          <cell r="L317">
            <v>5.281986290274876E-3</v>
          </cell>
          <cell r="R317">
            <v>5.9394169689768184E-3</v>
          </cell>
          <cell r="S317">
            <v>-1.5432373840813529E-2</v>
          </cell>
        </row>
        <row r="318">
          <cell r="D318">
            <v>-5.100978463221606E-2</v>
          </cell>
          <cell r="L318">
            <v>1.9664633401625942E-3</v>
          </cell>
          <cell r="R318">
            <v>1.2229990957078067E-2</v>
          </cell>
          <cell r="S318">
            <v>-1.5203811721159992E-2</v>
          </cell>
        </row>
        <row r="319">
          <cell r="D319">
            <v>6.4719660148236935E-2</v>
          </cell>
          <cell r="L319">
            <v>1.1850837943324644E-2</v>
          </cell>
          <cell r="R319">
            <v>2.4917167201182595E-2</v>
          </cell>
          <cell r="S319">
            <v>-9.2037141377746046E-2</v>
          </cell>
        </row>
        <row r="320">
          <cell r="D320">
            <v>3.5288063918567536E-2</v>
          </cell>
          <cell r="L320">
            <v>1.4678790520218366E-2</v>
          </cell>
          <cell r="R320">
            <v>1.5902586004018469E-2</v>
          </cell>
          <cell r="S320">
            <v>-6.2388451389568805E-4</v>
          </cell>
        </row>
        <row r="321">
          <cell r="D321">
            <v>9.2597780424574783E-3</v>
          </cell>
          <cell r="L321">
            <v>-2.4461194621376858E-3</v>
          </cell>
          <cell r="R321">
            <v>-6.8012908666322414E-3</v>
          </cell>
          <cell r="S321">
            <v>8.5507110461554171E-3</v>
          </cell>
        </row>
        <row r="322">
          <cell r="D322">
            <v>-9.8583066157206245E-3</v>
          </cell>
          <cell r="L322">
            <v>5.4342018642126177E-3</v>
          </cell>
          <cell r="R322">
            <v>1.2160350022290926E-3</v>
          </cell>
          <cell r="S322">
            <v>1.5901877224424949E-2</v>
          </cell>
        </row>
        <row r="323">
          <cell r="D323">
            <v>-7.2356910922987572E-2</v>
          </cell>
          <cell r="L323">
            <v>-2.7408832196707644E-2</v>
          </cell>
          <cell r="R323">
            <v>2.6547686644416146E-2</v>
          </cell>
          <cell r="S323">
            <v>1.6167692778953913E-3</v>
          </cell>
        </row>
        <row r="324">
          <cell r="D324">
            <v>4.0358691936448476E-3</v>
          </cell>
          <cell r="L324">
            <v>-1.2161573070812004E-2</v>
          </cell>
          <cell r="R324">
            <v>-1.347634855258273E-2</v>
          </cell>
          <cell r="S324">
            <v>7.0432851922039963E-2</v>
          </cell>
        </row>
        <row r="325">
          <cell r="D325">
            <v>-1.52092805285996E-2</v>
          </cell>
          <cell r="L325">
            <v>-2.0802669870820911E-2</v>
          </cell>
          <cell r="R325">
            <v>1.461475415096495E-2</v>
          </cell>
          <cell r="S325">
            <v>-2.3428839975795507E-4</v>
          </cell>
        </row>
        <row r="326">
          <cell r="D326">
            <v>-2.8681194808780064E-2</v>
          </cell>
          <cell r="L326">
            <v>-1.8743838530705825E-2</v>
          </cell>
          <cell r="R326">
            <v>2.4272583912000462E-3</v>
          </cell>
          <cell r="S326">
            <v>-4.8851435256841533E-2</v>
          </cell>
        </row>
        <row r="327">
          <cell r="D327">
            <v>4.0317936579150171E-2</v>
          </cell>
          <cell r="L327">
            <v>1.8486694959985117E-2</v>
          </cell>
          <cell r="R327">
            <v>1.2258781181884898E-2</v>
          </cell>
          <cell r="S327">
            <v>6.0379964776563991E-3</v>
          </cell>
        </row>
        <row r="328">
          <cell r="D328">
            <v>3.3515246916792529E-2</v>
          </cell>
          <cell r="L328">
            <v>6.6957882469145247E-3</v>
          </cell>
          <cell r="R328">
            <v>2.3311183530419451E-2</v>
          </cell>
          <cell r="S328">
            <v>3.7334691231156895E-2</v>
          </cell>
        </row>
        <row r="329">
          <cell r="D329">
            <v>-3.4646937947050871E-2</v>
          </cell>
          <cell r="L329">
            <v>-3.9300489572121178E-2</v>
          </cell>
          <cell r="R329">
            <v>6.4295421294415728E-3</v>
          </cell>
          <cell r="S329">
            <v>-2.1707685259203406E-2</v>
          </cell>
        </row>
        <row r="330">
          <cell r="R330">
            <v>-1.9614264932282122E-3</v>
          </cell>
          <cell r="S330">
            <v>3.5755429658046498E-2</v>
          </cell>
        </row>
        <row r="331">
          <cell r="R331">
            <v>7.6706466629190076E-3</v>
          </cell>
          <cell r="S331">
            <v>5.1085217890725551E-3</v>
          </cell>
        </row>
        <row r="332">
          <cell r="R332">
            <v>-1.7356113678491894E-2</v>
          </cell>
          <cell r="S332">
            <v>5.7652535073336036E-3</v>
          </cell>
        </row>
        <row r="333">
          <cell r="R333">
            <v>3.2153420260241317E-2</v>
          </cell>
          <cell r="S333">
            <v>0.11657764093248707</v>
          </cell>
        </row>
        <row r="334">
          <cell r="R334">
            <v>1.5384335716384458E-2</v>
          </cell>
          <cell r="S334">
            <v>1.9738577729408423E-2</v>
          </cell>
        </row>
        <row r="335">
          <cell r="R335">
            <v>1.5715218427415821E-2</v>
          </cell>
          <cell r="S335">
            <v>1.1391496203720965E-2</v>
          </cell>
        </row>
        <row r="336">
          <cell r="R336">
            <v>-3.4921212518495681E-4</v>
          </cell>
          <cell r="S336">
            <v>3.0888544341010123E-2</v>
          </cell>
        </row>
        <row r="337">
          <cell r="R337">
            <v>2.1173607563098371E-2</v>
          </cell>
          <cell r="S337">
            <v>-2.6295754509349942E-2</v>
          </cell>
        </row>
        <row r="338">
          <cell r="R338">
            <v>1.9482772009301118E-2</v>
          </cell>
          <cell r="S338">
            <v>-4.0321227873574693E-2</v>
          </cell>
        </row>
        <row r="339">
          <cell r="R339">
            <v>5.2512191852209164E-3</v>
          </cell>
          <cell r="S339">
            <v>-5.7519166399321794E-3</v>
          </cell>
        </row>
        <row r="340">
          <cell r="R340">
            <v>-3.2038557285211083E-3</v>
          </cell>
          <cell r="S340">
            <v>-4.561608560147647E-3</v>
          </cell>
        </row>
        <row r="341">
          <cell r="R341">
            <v>1.3147872253761385E-2</v>
          </cell>
          <cell r="S341">
            <v>6.1173299131608155E-4</v>
          </cell>
        </row>
        <row r="342">
          <cell r="R342">
            <v>1.3729285450319192E-2</v>
          </cell>
          <cell r="S342">
            <v>-6.3831641140516399E-3</v>
          </cell>
        </row>
        <row r="343">
          <cell r="R343">
            <v>-4.4077089770601947E-3</v>
          </cell>
          <cell r="S343">
            <v>-7.2118387140355494E-3</v>
          </cell>
        </row>
        <row r="344">
          <cell r="R344">
            <v>-7.2008102187596911E-3</v>
          </cell>
          <cell r="S344">
            <v>3.058767631139854E-2</v>
          </cell>
        </row>
        <row r="345">
          <cell r="R345">
            <v>2.9459981164774177E-2</v>
          </cell>
          <cell r="S345">
            <v>9.2788235560763849E-3</v>
          </cell>
        </row>
        <row r="346">
          <cell r="R346">
            <v>6.9590931811044027E-3</v>
          </cell>
          <cell r="S346">
            <v>4.5629620099500924E-2</v>
          </cell>
        </row>
        <row r="347">
          <cell r="R347">
            <v>1.8744761305892976E-2</v>
          </cell>
          <cell r="S347">
            <v>-1.2150740285955863E-2</v>
          </cell>
        </row>
        <row r="348">
          <cell r="R348">
            <v>1.0310164244380363E-2</v>
          </cell>
          <cell r="S348">
            <v>-1.4267922842461402E-3</v>
          </cell>
        </row>
        <row r="349">
          <cell r="R349">
            <v>2.8688402316584538E-3</v>
          </cell>
          <cell r="S349">
            <v>4.0493944571140861E-2</v>
          </cell>
        </row>
        <row r="350">
          <cell r="R350">
            <v>-1.0893776770989886E-2</v>
          </cell>
          <cell r="S350">
            <v>1.300390059158483E-2</v>
          </cell>
        </row>
        <row r="351">
          <cell r="R351">
            <v>-2.4512183175352628E-2</v>
          </cell>
          <cell r="S351">
            <v>-8.1197501690101342E-3</v>
          </cell>
        </row>
        <row r="352">
          <cell r="R352">
            <v>3.0362535821025632E-2</v>
          </cell>
          <cell r="S352">
            <v>2.0998124738517504E-2</v>
          </cell>
        </row>
        <row r="353">
          <cell r="R353">
            <v>4.5855325079913909E-3</v>
          </cell>
          <cell r="S353">
            <v>-2.1870094194217333E-2</v>
          </cell>
        </row>
        <row r="354">
          <cell r="R354">
            <v>1.0330050849001467E-2</v>
          </cell>
          <cell r="S354">
            <v>1.168142796813048E-2</v>
          </cell>
        </row>
        <row r="355">
          <cell r="R355">
            <v>6.8153450869555092E-3</v>
          </cell>
          <cell r="S355">
            <v>-5.7825129719171572E-2</v>
          </cell>
        </row>
        <row r="356">
          <cell r="R356">
            <v>1.7293531754545267E-2</v>
          </cell>
          <cell r="S356">
            <v>4.7426128393691667E-2</v>
          </cell>
        </row>
        <row r="357">
          <cell r="R357">
            <v>2.0291375945750301E-2</v>
          </cell>
          <cell r="S357">
            <v>1.4996687972817235E-2</v>
          </cell>
        </row>
        <row r="358">
          <cell r="R358">
            <v>2.1376726853138688E-3</v>
          </cell>
          <cell r="S358">
            <v>7.1221053571436099E-3</v>
          </cell>
        </row>
        <row r="359">
          <cell r="R359">
            <v>1.0491410900746545E-2</v>
          </cell>
          <cell r="S359">
            <v>-2.0349717516467171E-2</v>
          </cell>
        </row>
        <row r="360">
          <cell r="R360">
            <v>-2.4324695877545814E-2</v>
          </cell>
          <cell r="S360">
            <v>-4.8032215045441758E-2</v>
          </cell>
        </row>
        <row r="361">
          <cell r="R361">
            <v>-8.1614449178809487E-3</v>
          </cell>
          <cell r="S361">
            <v>1.2197314111525796E-2</v>
          </cell>
        </row>
        <row r="362">
          <cell r="R362">
            <v>-1.7321662829314702E-2</v>
          </cell>
          <cell r="S362">
            <v>2.1123823007151016E-3</v>
          </cell>
        </row>
        <row r="363">
          <cell r="R363">
            <v>-1.5139145475924569E-2</v>
          </cell>
          <cell r="S363">
            <v>-1.3542049332855495E-2</v>
          </cell>
        </row>
        <row r="364">
          <cell r="R364">
            <v>2.4328043426913519E-2</v>
          </cell>
          <cell r="S364">
            <v>1.5989893152236652E-2</v>
          </cell>
        </row>
        <row r="365">
          <cell r="R365">
            <v>1.1828788139667767E-2</v>
          </cell>
          <cell r="S365">
            <v>2.1686458777124763E-2</v>
          </cell>
        </row>
        <row r="366">
          <cell r="R366">
            <v>-3.6930754507369747E-2</v>
          </cell>
          <cell r="S366">
            <v>2.2838165603188756E-3</v>
          </cell>
        </row>
      </sheetData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48D13B-61FC-409A-8D8F-E7C9D9ECC22D}" name="Table1" displayName="Table1" ref="A33:M85" totalsRowShown="0" headerRowDxfId="12" dataDxfId="11">
  <autoFilter ref="A33:M85" xr:uid="{696EA6A9-4C81-475A-9EC6-5111523FF405}"/>
  <tableColumns count="13">
    <tableColumn id="1" xr3:uid="{D7916D7E-03BB-4EEB-A540-F4D8EBA64077}" name="Column1" dataDxfId="10"/>
    <tableColumn id="2" xr3:uid="{6529A7D7-BB4F-4A58-BFDA-9D0A452B8720}" name="Column2"/>
    <tableColumn id="3" xr3:uid="{6F089C81-2C8C-4745-8EFB-4D36D4B1EEF9}" name="Column3" dataDxfId="9"/>
    <tableColumn id="4" xr3:uid="{BCC8DF7E-B87B-4F53-8A1E-B62111043074}" name="Column4" dataDxfId="8"/>
    <tableColumn id="5" xr3:uid="{3283E6E6-CD10-4B95-A267-C7B2257AB572}" name="Column5" dataDxfId="7"/>
    <tableColumn id="6" xr3:uid="{8A08759E-AF03-4D18-9E16-E7F74D5B9239}" name="Column6" dataDxfId="6"/>
    <tableColumn id="7" xr3:uid="{A5C3A271-C9A9-4C51-865A-E665A276F1A3}" name="Column7" dataDxfId="5"/>
    <tableColumn id="8" xr3:uid="{BBC4B64E-7B8E-4CC6-A815-2B64D393F610}" name="Column8" dataDxfId="4"/>
    <tableColumn id="9" xr3:uid="{9AAAE30B-5BAA-4B90-866E-0DC158EA7D70}" name="Column9" dataDxfId="3"/>
    <tableColumn id="10" xr3:uid="{885F543F-D823-4168-AB47-2BE05A81A084}" name="Column10" dataDxfId="2"/>
    <tableColumn id="11" xr3:uid="{23CF5CCD-8F08-4AEE-B64D-4A8B428E4BDE}" name="Column11" dataDxfId="1"/>
    <tableColumn id="12" xr3:uid="{6FBE1FCA-45D0-4DF3-AE42-8911002FE255}" name="Column12" dataDxfId="0"/>
    <tableColumn id="13" xr3:uid="{ECF2C3B4-A59B-4D79-90C7-15E0D446660E}" name="Column13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B9E7-B532-4C8A-98A9-8EF3A7009C8D}">
  <dimension ref="A1:N40"/>
  <sheetViews>
    <sheetView workbookViewId="0">
      <selection activeCell="D41" sqref="A41:XFD1048576"/>
    </sheetView>
  </sheetViews>
  <sheetFormatPr defaultColWidth="0" defaultRowHeight="15" zeroHeight="1"/>
  <cols>
    <col min="1" max="1" width="35.140625" customWidth="1"/>
    <col min="2" max="2" width="0" hidden="1" customWidth="1"/>
    <col min="3" max="11" width="11.85546875" customWidth="1"/>
    <col min="12" max="14" width="9.140625" customWidth="1"/>
    <col min="15" max="16384" width="9.140625" hidden="1"/>
  </cols>
  <sheetData>
    <row r="1" spans="1:1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20.2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>
      <c r="A4" s="4" t="s">
        <v>1</v>
      </c>
      <c r="B4" s="4"/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</row>
    <row r="5" spans="1:11">
      <c r="A5" s="6" t="s">
        <v>11</v>
      </c>
      <c r="B5" s="6"/>
      <c r="C5" s="7" t="s">
        <v>12</v>
      </c>
      <c r="D5" s="7" t="s">
        <v>13</v>
      </c>
      <c r="E5" s="7" t="s">
        <v>14</v>
      </c>
      <c r="F5" s="7" t="s">
        <v>15</v>
      </c>
      <c r="G5" s="7" t="s">
        <v>16</v>
      </c>
      <c r="H5" s="7" t="s">
        <v>17</v>
      </c>
      <c r="I5" s="7" t="s">
        <v>18</v>
      </c>
      <c r="J5" s="7" t="s">
        <v>19</v>
      </c>
      <c r="K5" s="7" t="s">
        <v>20</v>
      </c>
    </row>
    <row r="6" spans="1:11">
      <c r="A6" s="8" t="s">
        <v>21</v>
      </c>
      <c r="B6" s="8" t="s">
        <v>22</v>
      </c>
      <c r="C6" s="13" t="s">
        <v>23</v>
      </c>
      <c r="D6" s="13" t="s">
        <v>23</v>
      </c>
      <c r="E6" s="13" t="s">
        <v>23</v>
      </c>
      <c r="F6" s="13" t="s">
        <v>23</v>
      </c>
      <c r="G6" s="13" t="s">
        <v>23</v>
      </c>
      <c r="H6" s="13" t="s">
        <v>23</v>
      </c>
      <c r="I6" s="20"/>
      <c r="J6" s="13"/>
      <c r="K6" s="13"/>
    </row>
    <row r="7" spans="1:11">
      <c r="A7" s="8" t="s">
        <v>24</v>
      </c>
      <c r="B7" s="8" t="s">
        <v>25</v>
      </c>
      <c r="C7" s="10">
        <v>12564</v>
      </c>
      <c r="D7" s="10">
        <v>12900</v>
      </c>
      <c r="E7" s="10">
        <v>13200</v>
      </c>
      <c r="F7" s="10">
        <v>13000</v>
      </c>
      <c r="G7" s="10">
        <v>14500</v>
      </c>
      <c r="H7" s="10">
        <v>15000</v>
      </c>
      <c r="I7" s="21"/>
      <c r="J7" s="10"/>
      <c r="K7" s="10"/>
    </row>
    <row r="8" spans="1:11">
      <c r="A8" s="8"/>
      <c r="B8" s="13"/>
      <c r="C8" s="13"/>
      <c r="D8" s="13"/>
      <c r="E8" s="13"/>
      <c r="F8" s="13"/>
      <c r="G8" s="13"/>
      <c r="H8" s="13"/>
      <c r="I8" s="20"/>
      <c r="J8" s="13"/>
      <c r="K8" s="13"/>
    </row>
    <row r="9" spans="1:11">
      <c r="A9" s="8" t="s">
        <v>26</v>
      </c>
      <c r="B9" s="8" t="s">
        <v>27</v>
      </c>
      <c r="C9" s="10">
        <v>25.85</v>
      </c>
      <c r="D9" s="10">
        <v>43.03</v>
      </c>
      <c r="E9" s="10">
        <v>50.58</v>
      </c>
      <c r="F9" s="10">
        <v>38.46</v>
      </c>
      <c r="G9" s="10">
        <v>43.75</v>
      </c>
      <c r="H9" s="10">
        <v>61.21</v>
      </c>
      <c r="I9" s="21">
        <v>91.389999389648395</v>
      </c>
      <c r="J9" s="10"/>
      <c r="K9" s="10"/>
    </row>
    <row r="10" spans="1:11">
      <c r="A10" s="8" t="s">
        <v>28</v>
      </c>
      <c r="B10" s="8" t="s">
        <v>29</v>
      </c>
      <c r="C10" s="9">
        <v>114.88339999999999</v>
      </c>
      <c r="D10" s="9">
        <v>114.88339999999999</v>
      </c>
      <c r="E10" s="9">
        <v>114.88339999999999</v>
      </c>
      <c r="F10" s="9">
        <v>109.334</v>
      </c>
      <c r="G10" s="9">
        <v>109.334</v>
      </c>
      <c r="H10" s="9">
        <v>109.334</v>
      </c>
      <c r="I10" s="18">
        <v>109.33398099999999</v>
      </c>
      <c r="J10" s="9"/>
      <c r="K10" s="9"/>
    </row>
    <row r="11" spans="1:11">
      <c r="A11" s="8" t="s">
        <v>30</v>
      </c>
      <c r="B11" s="8" t="s">
        <v>31</v>
      </c>
      <c r="C11" s="9">
        <v>2969.7352000000001</v>
      </c>
      <c r="D11" s="9">
        <v>4943.4314999999997</v>
      </c>
      <c r="E11" s="9">
        <v>5810.8010000000004</v>
      </c>
      <c r="F11" s="9">
        <v>4204.9849000000004</v>
      </c>
      <c r="G11" s="9">
        <v>4783.3617000000004</v>
      </c>
      <c r="H11" s="9">
        <v>6692.3329999999996</v>
      </c>
      <c r="I11" s="18">
        <v>9992.03252359</v>
      </c>
      <c r="J11" s="9"/>
      <c r="K11" s="9"/>
    </row>
    <row r="12" spans="1:11">
      <c r="A12" s="8"/>
      <c r="B12" s="13"/>
      <c r="C12" s="13"/>
      <c r="D12" s="13"/>
      <c r="E12" s="13"/>
      <c r="F12" s="13"/>
      <c r="G12" s="13"/>
      <c r="H12" s="13"/>
      <c r="I12" s="20"/>
      <c r="J12" s="13"/>
      <c r="K12" s="13"/>
    </row>
    <row r="13" spans="1:11">
      <c r="A13" s="8" t="s">
        <v>32</v>
      </c>
      <c r="B13" s="8" t="s">
        <v>33</v>
      </c>
      <c r="C13" s="9">
        <v>7095.3</v>
      </c>
      <c r="D13" s="9">
        <v>7918.9</v>
      </c>
      <c r="E13" s="9">
        <v>8916.1</v>
      </c>
      <c r="F13" s="9">
        <v>9232</v>
      </c>
      <c r="G13" s="9">
        <v>9626.4</v>
      </c>
      <c r="H13" s="9">
        <v>9592.4</v>
      </c>
      <c r="I13" s="18">
        <v>10100.700000000001</v>
      </c>
      <c r="J13" s="9">
        <v>10471.532999999999</v>
      </c>
      <c r="K13" s="9">
        <v>11091.938</v>
      </c>
    </row>
    <row r="14" spans="1:11">
      <c r="A14" s="8" t="s">
        <v>34</v>
      </c>
      <c r="B14" s="8" t="s">
        <v>34</v>
      </c>
      <c r="C14" s="9">
        <v>429.1</v>
      </c>
      <c r="D14" s="9">
        <v>718</v>
      </c>
      <c r="E14" s="9">
        <v>961.6</v>
      </c>
      <c r="F14" s="9">
        <v>1013.9</v>
      </c>
      <c r="G14" s="9">
        <v>993.2</v>
      </c>
      <c r="H14" s="9">
        <v>882.4</v>
      </c>
      <c r="I14" s="18">
        <v>924.2</v>
      </c>
      <c r="J14" s="9">
        <v>952.73299999999995</v>
      </c>
      <c r="K14" s="9">
        <v>1010.067</v>
      </c>
    </row>
    <row r="15" spans="1:11">
      <c r="A15" s="8" t="s">
        <v>35</v>
      </c>
      <c r="B15" s="8" t="s">
        <v>36</v>
      </c>
      <c r="C15" s="10">
        <v>6.0476999999999999</v>
      </c>
      <c r="D15" s="10">
        <v>9.0669000000000004</v>
      </c>
      <c r="E15" s="10">
        <v>10.785</v>
      </c>
      <c r="F15" s="10">
        <v>10.9825</v>
      </c>
      <c r="G15" s="10">
        <v>10.317500000000001</v>
      </c>
      <c r="H15" s="10">
        <v>9.1989000000000001</v>
      </c>
      <c r="I15" s="21">
        <v>9.1498609007296494</v>
      </c>
      <c r="J15" s="10">
        <v>9.0983144492788206</v>
      </c>
      <c r="K15" s="10">
        <v>9.1063166779331102</v>
      </c>
    </row>
    <row r="16" spans="1:11">
      <c r="A16" s="8" t="s">
        <v>37</v>
      </c>
      <c r="B16" s="8" t="s">
        <v>38</v>
      </c>
      <c r="C16" s="9">
        <v>249.8</v>
      </c>
      <c r="D16" s="9">
        <v>302.3</v>
      </c>
      <c r="E16" s="9">
        <v>506.1</v>
      </c>
      <c r="F16" s="9">
        <v>544.9</v>
      </c>
      <c r="G16" s="9">
        <v>524.6</v>
      </c>
      <c r="H16" s="9">
        <v>438.8</v>
      </c>
      <c r="I16" s="18">
        <v>459.9</v>
      </c>
      <c r="J16" s="9">
        <v>472.42899999999997</v>
      </c>
      <c r="K16" s="9">
        <v>501.5</v>
      </c>
    </row>
    <row r="17" spans="1:11">
      <c r="A17" s="8" t="s">
        <v>39</v>
      </c>
      <c r="B17" s="8" t="s">
        <v>40</v>
      </c>
      <c r="C17" s="10">
        <v>2.1743999999999999</v>
      </c>
      <c r="D17" s="10">
        <v>2.6311</v>
      </c>
      <c r="E17" s="10">
        <v>4.4074999999999998</v>
      </c>
      <c r="F17" s="10">
        <v>4.7946</v>
      </c>
      <c r="G17" s="10">
        <v>4.7990000000000004</v>
      </c>
      <c r="H17" s="10">
        <v>4.0136000000000003</v>
      </c>
      <c r="I17" s="21">
        <v>4.2075230000000001</v>
      </c>
      <c r="J17" s="10">
        <v>4.3090000000000002</v>
      </c>
      <c r="K17" s="10">
        <v>4.5910000000000002</v>
      </c>
    </row>
    <row r="18" spans="1:11">
      <c r="A18" s="8" t="s">
        <v>41</v>
      </c>
      <c r="B18" s="8" t="s">
        <v>42</v>
      </c>
      <c r="C18" s="10">
        <v>11.888299999999999</v>
      </c>
      <c r="D18" s="10">
        <v>16.354399999999998</v>
      </c>
      <c r="E18" s="10">
        <v>11.475899999999999</v>
      </c>
      <c r="F18" s="10">
        <v>8.0214999999999996</v>
      </c>
      <c r="G18" s="10">
        <v>9.1165000000000003</v>
      </c>
      <c r="H18" s="10">
        <v>15.2506</v>
      </c>
      <c r="I18" s="21">
        <v>21.7206179002821</v>
      </c>
      <c r="J18" s="10">
        <v>21.209097238338401</v>
      </c>
      <c r="K18" s="10">
        <v>19.906338488346801</v>
      </c>
    </row>
    <row r="19" spans="1:11">
      <c r="A19" s="8"/>
      <c r="B19" s="13"/>
      <c r="C19" s="13"/>
      <c r="D19" s="13"/>
      <c r="E19" s="13"/>
      <c r="F19" s="13"/>
      <c r="G19" s="13"/>
      <c r="H19" s="13"/>
      <c r="I19" s="20"/>
      <c r="J19" s="13"/>
      <c r="K19" s="13"/>
    </row>
    <row r="20" spans="1:11">
      <c r="A20" s="8" t="s">
        <v>43</v>
      </c>
      <c r="B20" s="8" t="s">
        <v>44</v>
      </c>
      <c r="C20" s="10">
        <v>1.42</v>
      </c>
      <c r="D20" s="10">
        <v>1.89</v>
      </c>
      <c r="E20" s="10">
        <v>2.87</v>
      </c>
      <c r="F20" s="10">
        <v>3.16</v>
      </c>
      <c r="G20" s="10">
        <v>3.12</v>
      </c>
      <c r="H20" s="10">
        <v>3.41</v>
      </c>
      <c r="I20" s="21">
        <v>5.36</v>
      </c>
      <c r="J20" s="10">
        <v>3.2589999999999999</v>
      </c>
      <c r="K20" s="10">
        <v>3.3540000000000001</v>
      </c>
    </row>
    <row r="21" spans="1:11">
      <c r="A21" s="8" t="s">
        <v>45</v>
      </c>
      <c r="B21" s="8" t="s">
        <v>46</v>
      </c>
      <c r="C21" s="10">
        <v>65.332300000000004</v>
      </c>
      <c r="D21" s="10">
        <v>71.816100000000006</v>
      </c>
      <c r="E21" s="10">
        <v>65.145200000000003</v>
      </c>
      <c r="F21" s="10">
        <v>65.0762</v>
      </c>
      <c r="G21" s="10">
        <v>65.021000000000001</v>
      </c>
      <c r="H21" s="10">
        <v>84.981800000000007</v>
      </c>
      <c r="I21" s="21">
        <v>135.24877365101599</v>
      </c>
      <c r="J21" s="10">
        <v>75.632397307960105</v>
      </c>
      <c r="K21" s="10">
        <v>73.055979089523007</v>
      </c>
    </row>
    <row r="22" spans="1:11">
      <c r="A22" s="8" t="s">
        <v>47</v>
      </c>
      <c r="B22" s="8" t="s">
        <v>48</v>
      </c>
      <c r="C22" s="10">
        <v>5.2998000000000003</v>
      </c>
      <c r="D22" s="10">
        <v>3.4859</v>
      </c>
      <c r="E22" s="10">
        <v>5.3380999999999998</v>
      </c>
      <c r="F22" s="10">
        <v>7.0202999999999998</v>
      </c>
      <c r="G22" s="10">
        <v>8</v>
      </c>
      <c r="H22" s="10">
        <v>4.4600999999999997</v>
      </c>
      <c r="I22" s="21">
        <v>3.8625669891561101</v>
      </c>
      <c r="J22" s="10"/>
      <c r="K22" s="10"/>
    </row>
    <row r="23" spans="1:11">
      <c r="A23" s="8"/>
      <c r="B23" s="13"/>
      <c r="C23" s="13"/>
      <c r="D23" s="13"/>
      <c r="E23" s="13"/>
      <c r="F23" s="13"/>
      <c r="G23" s="13"/>
      <c r="H23" s="13"/>
      <c r="I23" s="20"/>
      <c r="J23" s="13"/>
      <c r="K23" s="13"/>
    </row>
    <row r="24" spans="1:11">
      <c r="A24" s="8" t="s">
        <v>49</v>
      </c>
      <c r="B24" s="8" t="s">
        <v>50</v>
      </c>
      <c r="C24" s="9">
        <v>191.5</v>
      </c>
      <c r="D24" s="9">
        <v>814.5</v>
      </c>
      <c r="E24" s="9">
        <v>705.3</v>
      </c>
      <c r="F24" s="9">
        <v>630.6</v>
      </c>
      <c r="G24" s="9">
        <v>712.9</v>
      </c>
      <c r="H24" s="9">
        <v>765.2</v>
      </c>
      <c r="I24" s="18">
        <v>833.8</v>
      </c>
      <c r="J24" s="9"/>
      <c r="K24" s="9"/>
    </row>
    <row r="25" spans="1:11">
      <c r="A25" s="8" t="s">
        <v>51</v>
      </c>
      <c r="B25" s="8" t="s">
        <v>52</v>
      </c>
      <c r="C25" s="9">
        <v>2567.1999999999998</v>
      </c>
      <c r="D25" s="9">
        <v>3152.3</v>
      </c>
      <c r="E25" s="9">
        <v>3255.3</v>
      </c>
      <c r="F25" s="9">
        <v>3161.4</v>
      </c>
      <c r="G25" s="9">
        <v>3234.9</v>
      </c>
      <c r="H25" s="9">
        <v>3486.6</v>
      </c>
      <c r="I25" s="18">
        <v>4165.7</v>
      </c>
      <c r="J25" s="9"/>
      <c r="K25" s="9"/>
    </row>
    <row r="26" spans="1:11">
      <c r="A26" s="8" t="s">
        <v>53</v>
      </c>
      <c r="B26" s="8" t="s">
        <v>54</v>
      </c>
      <c r="C26" s="9">
        <v>1523.1</v>
      </c>
      <c r="D26" s="9">
        <v>2046.6</v>
      </c>
      <c r="E26" s="9">
        <v>1946.9</v>
      </c>
      <c r="F26" s="9">
        <v>1881.1</v>
      </c>
      <c r="G26" s="9">
        <v>1815.3</v>
      </c>
      <c r="H26" s="9">
        <v>1927.5</v>
      </c>
      <c r="I26" s="18">
        <v>2545.3000000000002</v>
      </c>
      <c r="J26" s="9"/>
      <c r="K26" s="9"/>
    </row>
    <row r="27" spans="1:11">
      <c r="A27" s="8" t="s">
        <v>55</v>
      </c>
      <c r="B27" s="8" t="s">
        <v>56</v>
      </c>
      <c r="C27" s="9">
        <v>1044.0999999999999</v>
      </c>
      <c r="D27" s="9">
        <v>1105.7</v>
      </c>
      <c r="E27" s="9">
        <v>1308.4000000000001</v>
      </c>
      <c r="F27" s="9">
        <v>1280.3</v>
      </c>
      <c r="G27" s="9">
        <v>1419.6</v>
      </c>
      <c r="H27" s="9">
        <v>1559.1</v>
      </c>
      <c r="I27" s="18">
        <v>1620.4</v>
      </c>
      <c r="J27" s="9"/>
      <c r="K27" s="9"/>
    </row>
    <row r="28" spans="1:11">
      <c r="A28" s="8" t="s">
        <v>57</v>
      </c>
      <c r="B28" s="8" t="s">
        <v>58</v>
      </c>
      <c r="C28" s="10">
        <v>9.0883000000000003</v>
      </c>
      <c r="D28" s="10">
        <v>9.6244999999999994</v>
      </c>
      <c r="E28" s="10">
        <v>11.3889</v>
      </c>
      <c r="F28" s="10">
        <v>11.71</v>
      </c>
      <c r="G28" s="10">
        <v>12.9841</v>
      </c>
      <c r="H28" s="10">
        <v>14.26</v>
      </c>
      <c r="I28" s="21">
        <v>14.7721685904769</v>
      </c>
      <c r="J28" s="10">
        <v>14.835000000000001</v>
      </c>
      <c r="K28" s="10">
        <v>15.826000000000001</v>
      </c>
    </row>
    <row r="29" spans="1:11">
      <c r="A29" s="8" t="s">
        <v>59</v>
      </c>
      <c r="B29" s="8" t="s">
        <v>60</v>
      </c>
      <c r="C29" s="10">
        <v>2.8443000000000001</v>
      </c>
      <c r="D29" s="10">
        <v>4.4709000000000003</v>
      </c>
      <c r="E29" s="10">
        <v>4.4412000000000003</v>
      </c>
      <c r="F29" s="10">
        <v>3.2844000000000002</v>
      </c>
      <c r="G29" s="10">
        <v>3.3694999999999999</v>
      </c>
      <c r="H29" s="10">
        <v>4.2923999999999998</v>
      </c>
      <c r="I29" s="21">
        <v>6.1866339278421396</v>
      </c>
      <c r="J29" s="10">
        <v>6.1604314122008796</v>
      </c>
      <c r="K29" s="10">
        <v>5.7746745861240996</v>
      </c>
    </row>
    <row r="30" spans="1:11">
      <c r="A30" s="8" t="s">
        <v>61</v>
      </c>
      <c r="B30" s="8" t="s">
        <v>62</v>
      </c>
      <c r="C30" s="10">
        <v>5.9200000000000003E-2</v>
      </c>
      <c r="D30" s="10">
        <v>0.64670000000000005</v>
      </c>
      <c r="E30" s="10">
        <v>2.4110999999999998</v>
      </c>
      <c r="F30" s="10">
        <v>2.2765</v>
      </c>
      <c r="G30" s="10">
        <v>3.5506000000000002</v>
      </c>
      <c r="H30" s="10">
        <v>4.8265000000000002</v>
      </c>
      <c r="I30" s="21">
        <v>4.8932636963068203</v>
      </c>
      <c r="J30" s="10"/>
      <c r="K30" s="10"/>
    </row>
    <row r="31" spans="1:11">
      <c r="A31" s="8" t="s">
        <v>63</v>
      </c>
      <c r="B31" s="8" t="s">
        <v>64</v>
      </c>
      <c r="C31" s="10">
        <v>7.3944999999999999</v>
      </c>
      <c r="D31" s="10">
        <v>6.298</v>
      </c>
      <c r="E31" s="10">
        <v>7.4768999999999997</v>
      </c>
      <c r="F31" s="10">
        <v>7.5719000000000003</v>
      </c>
      <c r="G31" s="10">
        <v>7.8947000000000003</v>
      </c>
      <c r="H31" s="10">
        <v>7.6894</v>
      </c>
      <c r="I31" s="21">
        <v>7.0945014953613299</v>
      </c>
      <c r="J31" s="10"/>
      <c r="K31" s="10"/>
    </row>
    <row r="32" spans="1:11">
      <c r="A32" s="8"/>
      <c r="B32" s="13"/>
      <c r="C32" s="13"/>
      <c r="D32" s="13"/>
      <c r="E32" s="13"/>
      <c r="F32" s="13"/>
      <c r="G32" s="13"/>
      <c r="H32" s="13"/>
      <c r="I32" s="20"/>
      <c r="J32" s="13"/>
      <c r="K32" s="13"/>
    </row>
    <row r="33" spans="1:11">
      <c r="A33" s="8" t="s">
        <v>65</v>
      </c>
      <c r="B33" s="8" t="s">
        <v>66</v>
      </c>
      <c r="C33" s="9">
        <v>301.60000000000002</v>
      </c>
      <c r="D33" s="9">
        <v>981.3</v>
      </c>
      <c r="E33" s="9">
        <v>558.70000000000005</v>
      </c>
      <c r="F33" s="9">
        <v>627.4</v>
      </c>
      <c r="G33" s="9">
        <v>716.4</v>
      </c>
      <c r="H33" s="9">
        <v>752.6</v>
      </c>
      <c r="I33" s="18">
        <v>776.4</v>
      </c>
      <c r="J33" s="9"/>
      <c r="K33" s="9"/>
    </row>
    <row r="34" spans="1:11">
      <c r="A34" s="8" t="s">
        <v>67</v>
      </c>
      <c r="B34" s="8" t="s">
        <v>68</v>
      </c>
      <c r="C34" s="10">
        <v>2.6248999999999998</v>
      </c>
      <c r="D34" s="10">
        <v>8.5404999999999998</v>
      </c>
      <c r="E34" s="10">
        <v>4.8666999999999998</v>
      </c>
      <c r="F34" s="10">
        <v>5.5179999999999998</v>
      </c>
      <c r="G34" s="10">
        <v>6.5544000000000002</v>
      </c>
      <c r="H34" s="10">
        <v>6.8856000000000002</v>
      </c>
      <c r="I34" s="21">
        <v>7.1033851784080504</v>
      </c>
      <c r="J34" s="10">
        <v>6.3579999999999997</v>
      </c>
      <c r="K34" s="10">
        <v>6.7169999999999996</v>
      </c>
    </row>
    <row r="35" spans="1:11">
      <c r="A35" s="8" t="s">
        <v>69</v>
      </c>
      <c r="B35" s="8" t="s">
        <v>70</v>
      </c>
      <c r="C35" s="9">
        <v>242.3</v>
      </c>
      <c r="D35" s="9">
        <v>938.2</v>
      </c>
      <c r="E35" s="9">
        <v>501</v>
      </c>
      <c r="F35" s="9">
        <v>569.79999999999995</v>
      </c>
      <c r="G35" s="9">
        <v>644.4</v>
      </c>
      <c r="H35" s="9">
        <v>678.1</v>
      </c>
      <c r="I35" s="18">
        <v>699.9</v>
      </c>
      <c r="J35" s="9">
        <v>605.74199999999996</v>
      </c>
      <c r="K35" s="9">
        <v>625.54700000000003</v>
      </c>
    </row>
    <row r="36" spans="1:11">
      <c r="A36" s="8" t="s">
        <v>71</v>
      </c>
      <c r="B36" s="8" t="s">
        <v>72</v>
      </c>
      <c r="C36" s="10">
        <v>2.1088</v>
      </c>
      <c r="D36" s="10">
        <v>8.1654</v>
      </c>
      <c r="E36" s="10">
        <v>4.3640999999999996</v>
      </c>
      <c r="F36" s="10">
        <v>5.0114000000000001</v>
      </c>
      <c r="G36" s="10">
        <v>5.8956999999999997</v>
      </c>
      <c r="H36" s="10">
        <v>6.2039999999999997</v>
      </c>
      <c r="I36" s="21">
        <v>6.4034766697163796</v>
      </c>
      <c r="J36" s="10"/>
      <c r="K36" s="10"/>
    </row>
    <row r="37" spans="1:11">
      <c r="A37" s="8" t="s">
        <v>73</v>
      </c>
      <c r="B37" s="8" t="s">
        <v>74</v>
      </c>
      <c r="C37" s="9">
        <v>47.2</v>
      </c>
      <c r="D37" s="9">
        <v>132.30000000000001</v>
      </c>
      <c r="E37" s="9">
        <v>11.7</v>
      </c>
      <c r="F37" s="9">
        <v>-137.6</v>
      </c>
      <c r="G37" s="9">
        <v>51.7</v>
      </c>
      <c r="H37" s="9">
        <v>140.4</v>
      </c>
      <c r="I37" s="18">
        <v>68.399996948242205</v>
      </c>
      <c r="J37" s="9"/>
      <c r="K37" s="9"/>
    </row>
    <row r="38" spans="1:11">
      <c r="A38" s="26" t="s">
        <v>75</v>
      </c>
      <c r="B38" s="26"/>
      <c r="C38" s="26" t="s">
        <v>76</v>
      </c>
      <c r="D38" s="26"/>
      <c r="E38" s="26"/>
      <c r="F38" s="26"/>
      <c r="G38" s="26"/>
      <c r="H38" s="26"/>
      <c r="I38" s="26"/>
      <c r="J38" s="26"/>
      <c r="K38" s="26"/>
    </row>
    <row r="39" spans="1:11"/>
    <row r="40" spans="1:11"/>
  </sheetData>
  <phoneticPr fontId="1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15FD9-1A8C-41F8-918A-0567DE633575}">
  <dimension ref="A1:V1591"/>
  <sheetViews>
    <sheetView topLeftCell="D1" zoomScaleNormal="100" workbookViewId="0">
      <selection activeCell="W1" sqref="W1:XFD1048576"/>
    </sheetView>
  </sheetViews>
  <sheetFormatPr defaultColWidth="0" defaultRowHeight="15"/>
  <cols>
    <col min="1" max="1" width="48.28515625" bestFit="1" customWidth="1"/>
    <col min="2" max="2" width="56.5703125" customWidth="1"/>
    <col min="3" max="3" width="61.42578125" bestFit="1" customWidth="1"/>
    <col min="4" max="4" width="31.85546875" customWidth="1"/>
    <col min="5" max="5" width="35.28515625" customWidth="1"/>
    <col min="6" max="22" width="9.140625" customWidth="1"/>
    <col min="23" max="16384" width="9.140625" hidden="1"/>
  </cols>
  <sheetData>
    <row r="1" spans="1:5">
      <c r="A1" s="32" t="s">
        <v>754</v>
      </c>
      <c r="B1" s="33" t="s">
        <v>755</v>
      </c>
      <c r="C1" s="33" t="s">
        <v>755</v>
      </c>
      <c r="D1" s="33" t="s">
        <v>755</v>
      </c>
      <c r="E1" s="33" t="s">
        <v>755</v>
      </c>
    </row>
    <row r="2" spans="1:5">
      <c r="A2" s="34" t="s">
        <v>756</v>
      </c>
      <c r="B2" s="35" t="s">
        <v>757</v>
      </c>
      <c r="C2" s="35" t="s">
        <v>758</v>
      </c>
      <c r="D2" s="35" t="s">
        <v>759</v>
      </c>
      <c r="E2" s="35" t="s">
        <v>760</v>
      </c>
    </row>
    <row r="3" spans="1:5" ht="14.25" customHeight="1">
      <c r="A3" s="34" t="s">
        <v>761</v>
      </c>
      <c r="B3" s="35" t="s">
        <v>762</v>
      </c>
      <c r="C3" s="35" t="s">
        <v>763</v>
      </c>
      <c r="D3" s="35" t="s">
        <v>764</v>
      </c>
      <c r="E3" s="35" t="s">
        <v>765</v>
      </c>
    </row>
    <row r="4" spans="1:5">
      <c r="A4" s="34" t="s">
        <v>766</v>
      </c>
      <c r="B4" s="36" t="s">
        <v>767</v>
      </c>
      <c r="C4" s="36" t="s">
        <v>767</v>
      </c>
      <c r="D4" s="36" t="s">
        <v>767</v>
      </c>
      <c r="E4" s="36" t="s">
        <v>767</v>
      </c>
    </row>
    <row r="5" spans="1:5">
      <c r="A5" s="34" t="s">
        <v>768</v>
      </c>
      <c r="B5" s="36" t="s">
        <v>769</v>
      </c>
      <c r="C5" s="36" t="s">
        <v>769</v>
      </c>
      <c r="D5" s="36" t="s">
        <v>769</v>
      </c>
      <c r="E5" s="36" t="s">
        <v>769</v>
      </c>
    </row>
    <row r="6" spans="1:5">
      <c r="A6" s="34" t="s">
        <v>770</v>
      </c>
      <c r="B6" s="35" t="s">
        <v>771</v>
      </c>
      <c r="C6" s="35" t="s">
        <v>771</v>
      </c>
      <c r="D6" s="35" t="s">
        <v>771</v>
      </c>
      <c r="E6" s="35" t="s">
        <v>771</v>
      </c>
    </row>
    <row r="7" spans="1:5">
      <c r="A7" s="34" t="s">
        <v>772</v>
      </c>
      <c r="B7" s="35" t="s">
        <v>773</v>
      </c>
      <c r="C7" s="35" t="s">
        <v>773</v>
      </c>
      <c r="D7" s="35" t="s">
        <v>773</v>
      </c>
      <c r="E7" s="35" t="s">
        <v>773</v>
      </c>
    </row>
    <row r="8" spans="1:5">
      <c r="A8" s="34" t="s">
        <v>774</v>
      </c>
      <c r="B8" s="37" t="s">
        <v>775</v>
      </c>
      <c r="C8" s="37" t="s">
        <v>775</v>
      </c>
      <c r="D8" s="37" t="s">
        <v>775</v>
      </c>
      <c r="E8" s="37" t="s">
        <v>775</v>
      </c>
    </row>
    <row r="9" spans="1:5">
      <c r="A9" s="34" t="s">
        <v>776</v>
      </c>
      <c r="B9" s="35" t="s">
        <v>777</v>
      </c>
      <c r="C9" s="35" t="s">
        <v>778</v>
      </c>
      <c r="D9" s="35" t="s">
        <v>779</v>
      </c>
      <c r="E9" s="35" t="s">
        <v>780</v>
      </c>
    </row>
    <row r="10" spans="1:5">
      <c r="A10" s="55" t="s">
        <v>781</v>
      </c>
      <c r="B10" s="38">
        <v>1.8520000000000001</v>
      </c>
      <c r="C10" s="38">
        <v>1.79</v>
      </c>
      <c r="D10" s="38">
        <v>1.944</v>
      </c>
      <c r="E10" s="38">
        <v>2.2869999999999999</v>
      </c>
    </row>
    <row r="11" spans="1:5">
      <c r="A11" s="55" t="s">
        <v>782</v>
      </c>
      <c r="B11" s="38">
        <v>1.7909999999999999</v>
      </c>
      <c r="C11" s="38">
        <v>1.7210000000000001</v>
      </c>
      <c r="D11" s="38">
        <v>1.8640000000000001</v>
      </c>
      <c r="E11" s="38">
        <v>2.173</v>
      </c>
    </row>
    <row r="12" spans="1:5">
      <c r="A12" s="55" t="s">
        <v>783</v>
      </c>
      <c r="B12" s="38">
        <v>1.8340000000000001</v>
      </c>
      <c r="C12" s="38">
        <v>1.76</v>
      </c>
      <c r="D12" s="38">
        <v>1.907</v>
      </c>
      <c r="E12" s="38">
        <v>2.234</v>
      </c>
    </row>
    <row r="13" spans="1:5">
      <c r="A13" s="55" t="s">
        <v>784</v>
      </c>
      <c r="B13" s="38">
        <v>1.849</v>
      </c>
      <c r="C13" s="38">
        <v>1.78</v>
      </c>
      <c r="D13" s="38">
        <v>1.9339999999999999</v>
      </c>
      <c r="E13" s="38">
        <v>2.2690000000000001</v>
      </c>
    </row>
    <row r="14" spans="1:5">
      <c r="A14" s="55" t="s">
        <v>785</v>
      </c>
      <c r="B14" s="38">
        <v>1.87</v>
      </c>
      <c r="C14" s="38">
        <v>1.806</v>
      </c>
      <c r="D14" s="38">
        <v>1.9550000000000001</v>
      </c>
      <c r="E14" s="38">
        <v>2.3010000000000002</v>
      </c>
    </row>
    <row r="15" spans="1:5">
      <c r="A15" s="55" t="s">
        <v>786</v>
      </c>
      <c r="B15" s="38">
        <v>1.8839999999999999</v>
      </c>
      <c r="C15" s="38">
        <v>1.8260000000000001</v>
      </c>
      <c r="D15" s="38">
        <v>1.9710000000000001</v>
      </c>
      <c r="E15" s="38">
        <v>2.3250000000000002</v>
      </c>
    </row>
    <row r="16" spans="1:5">
      <c r="A16" s="55" t="s">
        <v>787</v>
      </c>
      <c r="B16" s="38">
        <v>1.875</v>
      </c>
      <c r="C16" s="38">
        <v>1.8160000000000001</v>
      </c>
      <c r="D16" s="38">
        <v>1.9590000000000001</v>
      </c>
      <c r="E16" s="38">
        <v>2.3149999999999999</v>
      </c>
    </row>
    <row r="17" spans="1:5">
      <c r="A17" s="55">
        <v>43476</v>
      </c>
      <c r="B17" s="38">
        <v>1.869</v>
      </c>
      <c r="C17" s="38">
        <v>1.81</v>
      </c>
      <c r="D17" s="38">
        <v>1.9530000000000001</v>
      </c>
      <c r="E17" s="38">
        <v>2.306</v>
      </c>
    </row>
    <row r="18" spans="1:5">
      <c r="A18" s="55" t="s">
        <v>788</v>
      </c>
      <c r="B18" s="38">
        <v>1.8460000000000001</v>
      </c>
      <c r="C18" s="38">
        <v>1.7809999999999999</v>
      </c>
      <c r="D18" s="38">
        <v>1.9239999999999999</v>
      </c>
      <c r="E18" s="38">
        <v>2.27</v>
      </c>
    </row>
    <row r="19" spans="1:5">
      <c r="A19" s="55" t="s">
        <v>789</v>
      </c>
      <c r="B19" s="38">
        <v>1.859</v>
      </c>
      <c r="C19" s="38">
        <v>1.796</v>
      </c>
      <c r="D19" s="38">
        <v>1.9359999999999999</v>
      </c>
      <c r="E19" s="38">
        <v>2.2850000000000001</v>
      </c>
    </row>
    <row r="20" spans="1:5">
      <c r="A20" s="55" t="s">
        <v>790</v>
      </c>
      <c r="B20" s="38">
        <v>1.845</v>
      </c>
      <c r="C20" s="38">
        <v>1.782</v>
      </c>
      <c r="D20" s="38">
        <v>1.917</v>
      </c>
      <c r="E20" s="38">
        <v>2.2709999999999999</v>
      </c>
    </row>
    <row r="21" spans="1:5">
      <c r="A21" s="55" t="s">
        <v>791</v>
      </c>
      <c r="B21" s="38">
        <v>1.8460000000000001</v>
      </c>
      <c r="C21" s="38">
        <v>1.778</v>
      </c>
      <c r="D21" s="38">
        <v>1.911</v>
      </c>
      <c r="E21" s="38">
        <v>2.2770000000000001</v>
      </c>
    </row>
    <row r="22" spans="1:5">
      <c r="A22" s="55" t="s">
        <v>792</v>
      </c>
      <c r="B22" s="38">
        <v>1.867</v>
      </c>
      <c r="C22" s="38">
        <v>1.806</v>
      </c>
      <c r="D22" s="38">
        <v>1.9379999999999999</v>
      </c>
      <c r="E22" s="38">
        <v>2.3109999999999999</v>
      </c>
    </row>
    <row r="23" spans="1:5">
      <c r="A23" s="55" t="s">
        <v>793</v>
      </c>
      <c r="B23" s="38">
        <v>1.869</v>
      </c>
      <c r="C23" s="38">
        <v>1.806</v>
      </c>
      <c r="D23" s="38">
        <v>1.9350000000000001</v>
      </c>
      <c r="E23" s="38">
        <v>2.3079999999999998</v>
      </c>
    </row>
    <row r="24" spans="1:5">
      <c r="A24" s="55" t="s">
        <v>794</v>
      </c>
      <c r="B24" s="38">
        <v>1.867</v>
      </c>
      <c r="C24" s="38">
        <v>1.8049999999999999</v>
      </c>
      <c r="D24" s="38">
        <v>1.929</v>
      </c>
      <c r="E24" s="38">
        <v>2.298</v>
      </c>
    </row>
    <row r="25" spans="1:5">
      <c r="A25" s="55" t="s">
        <v>795</v>
      </c>
      <c r="B25" s="38">
        <v>1.853</v>
      </c>
      <c r="C25" s="38">
        <v>1.7869999999999999</v>
      </c>
      <c r="D25" s="38">
        <v>1.905</v>
      </c>
      <c r="E25" s="38">
        <v>2.278</v>
      </c>
    </row>
    <row r="26" spans="1:5">
      <c r="A26" s="55" t="s">
        <v>796</v>
      </c>
      <c r="B26" s="38">
        <v>1.823</v>
      </c>
      <c r="C26" s="38">
        <v>1.756</v>
      </c>
      <c r="D26" s="38">
        <v>1.877</v>
      </c>
      <c r="E26" s="38">
        <v>2.2679999999999998</v>
      </c>
    </row>
    <row r="27" spans="1:5">
      <c r="A27" s="55" t="s">
        <v>797</v>
      </c>
      <c r="B27" s="38">
        <v>1.784</v>
      </c>
      <c r="C27" s="38">
        <v>1.71</v>
      </c>
      <c r="D27" s="38">
        <v>1.8240000000000001</v>
      </c>
      <c r="E27" s="38">
        <v>2.2080000000000002</v>
      </c>
    </row>
    <row r="28" spans="1:5">
      <c r="A28" s="55" t="s">
        <v>798</v>
      </c>
      <c r="B28" s="38">
        <v>1.7929999999999999</v>
      </c>
      <c r="C28" s="38">
        <v>1.72</v>
      </c>
      <c r="D28" s="38">
        <v>1.839</v>
      </c>
      <c r="E28" s="38">
        <v>2.2280000000000002</v>
      </c>
    </row>
    <row r="29" spans="1:5">
      <c r="A29" s="55" t="s">
        <v>799</v>
      </c>
      <c r="B29" s="38">
        <v>1.8260000000000001</v>
      </c>
      <c r="C29" s="38">
        <v>1.7549999999999999</v>
      </c>
      <c r="D29" s="38">
        <v>1.8660000000000001</v>
      </c>
      <c r="E29" s="38">
        <v>2.2389999999999999</v>
      </c>
    </row>
    <row r="30" spans="1:5">
      <c r="A30" s="55" t="s">
        <v>800</v>
      </c>
      <c r="B30" s="38">
        <v>1.819</v>
      </c>
      <c r="C30" s="38">
        <v>1.75</v>
      </c>
      <c r="D30" s="38">
        <v>1.8580000000000001</v>
      </c>
      <c r="E30" s="38">
        <v>2.238</v>
      </c>
    </row>
    <row r="31" spans="1:5">
      <c r="A31" s="55" t="s">
        <v>801</v>
      </c>
      <c r="B31" s="38">
        <v>1.8049999999999999</v>
      </c>
      <c r="C31" s="38">
        <v>1.736</v>
      </c>
      <c r="D31" s="38">
        <v>1.8320000000000001</v>
      </c>
      <c r="E31" s="38">
        <v>2.2029999999999998</v>
      </c>
    </row>
    <row r="32" spans="1:5">
      <c r="A32" s="55" t="s">
        <v>802</v>
      </c>
      <c r="B32" s="38">
        <v>1.8180000000000001</v>
      </c>
      <c r="C32" s="38">
        <v>1.7490000000000001</v>
      </c>
      <c r="D32" s="38">
        <v>1.847</v>
      </c>
      <c r="E32" s="38">
        <v>2.2280000000000002</v>
      </c>
    </row>
    <row r="33" spans="1:5">
      <c r="A33" s="55" t="s">
        <v>803</v>
      </c>
      <c r="B33" s="38">
        <v>1.8280000000000001</v>
      </c>
      <c r="C33" s="38">
        <v>1.764</v>
      </c>
      <c r="D33" s="38">
        <v>1.861</v>
      </c>
      <c r="E33" s="38">
        <v>2.2429999999999999</v>
      </c>
    </row>
    <row r="34" spans="1:5">
      <c r="A34" s="55" t="s">
        <v>804</v>
      </c>
      <c r="B34" s="38">
        <v>1.7450000000000001</v>
      </c>
      <c r="C34" s="38">
        <v>1.6619999999999999</v>
      </c>
      <c r="D34" s="38">
        <v>1.76</v>
      </c>
      <c r="E34" s="38">
        <v>2.1800000000000002</v>
      </c>
    </row>
    <row r="35" spans="1:5">
      <c r="A35" s="55" t="s">
        <v>805</v>
      </c>
      <c r="B35" s="38">
        <v>1.73</v>
      </c>
      <c r="C35" s="38">
        <v>1.649</v>
      </c>
      <c r="D35" s="38">
        <v>1.7310000000000001</v>
      </c>
      <c r="E35" s="38">
        <v>2.145</v>
      </c>
    </row>
    <row r="36" spans="1:5">
      <c r="A36" s="55" t="s">
        <v>806</v>
      </c>
      <c r="B36" s="38">
        <v>1.694</v>
      </c>
      <c r="C36" s="38">
        <v>1.615</v>
      </c>
      <c r="D36" s="38">
        <v>1.69</v>
      </c>
      <c r="E36" s="38">
        <v>2.101</v>
      </c>
    </row>
    <row r="37" spans="1:5">
      <c r="A37" s="55" t="s">
        <v>807</v>
      </c>
      <c r="B37" s="38">
        <v>1.6990000000000001</v>
      </c>
      <c r="C37" s="38">
        <v>1.623</v>
      </c>
      <c r="D37" s="38">
        <v>1.6870000000000001</v>
      </c>
      <c r="E37" s="38">
        <v>2.06</v>
      </c>
    </row>
    <row r="38" spans="1:5">
      <c r="A38" s="55" t="s">
        <v>808</v>
      </c>
      <c r="B38" s="38">
        <v>1.7290000000000001</v>
      </c>
      <c r="C38" s="38">
        <v>1.659</v>
      </c>
      <c r="D38" s="38">
        <v>1.732</v>
      </c>
      <c r="E38" s="38">
        <v>2.1139999999999999</v>
      </c>
    </row>
    <row r="39" spans="1:5">
      <c r="A39" s="55" t="s">
        <v>809</v>
      </c>
      <c r="B39" s="38">
        <v>1.7549999999999999</v>
      </c>
      <c r="C39" s="38">
        <v>1.6870000000000001</v>
      </c>
      <c r="D39" s="38">
        <v>1.766</v>
      </c>
      <c r="E39" s="38">
        <v>2.149</v>
      </c>
    </row>
    <row r="40" spans="1:5">
      <c r="A40" s="55" t="s">
        <v>810</v>
      </c>
      <c r="B40" s="38">
        <v>1.76</v>
      </c>
      <c r="C40" s="38">
        <v>1.6919999999999999</v>
      </c>
      <c r="D40" s="38">
        <v>1.766</v>
      </c>
      <c r="E40" s="38">
        <v>2.1440000000000001</v>
      </c>
    </row>
    <row r="41" spans="1:5">
      <c r="A41" s="55" t="s">
        <v>811</v>
      </c>
      <c r="B41" s="38">
        <v>1.7330000000000001</v>
      </c>
      <c r="C41" s="38">
        <v>1.6619999999999999</v>
      </c>
      <c r="D41" s="38">
        <v>1.7310000000000001</v>
      </c>
      <c r="E41" s="38">
        <v>2.0990000000000002</v>
      </c>
    </row>
    <row r="42" spans="1:5">
      <c r="A42" s="55" t="s">
        <v>812</v>
      </c>
      <c r="B42" s="38">
        <v>1.764</v>
      </c>
      <c r="C42" s="38">
        <v>1.6890000000000001</v>
      </c>
      <c r="D42" s="38">
        <v>1.76</v>
      </c>
      <c r="E42" s="38">
        <v>2.1389999999999998</v>
      </c>
    </row>
    <row r="43" spans="1:5">
      <c r="A43" s="55" t="s">
        <v>813</v>
      </c>
      <c r="B43" s="38">
        <v>1.7589999999999999</v>
      </c>
      <c r="C43" s="38">
        <v>1.6830000000000001</v>
      </c>
      <c r="D43" s="38">
        <v>1.752</v>
      </c>
      <c r="E43" s="38">
        <v>2.133</v>
      </c>
    </row>
    <row r="44" spans="1:5">
      <c r="A44" s="55" t="s">
        <v>814</v>
      </c>
      <c r="B44" s="38">
        <v>1.7210000000000001</v>
      </c>
      <c r="C44" s="38">
        <v>1.6459999999999999</v>
      </c>
      <c r="D44" s="38">
        <v>1.7130000000000001</v>
      </c>
      <c r="E44" s="38">
        <v>2.0990000000000002</v>
      </c>
    </row>
    <row r="45" spans="1:5">
      <c r="A45" s="55" t="s">
        <v>815</v>
      </c>
      <c r="B45" s="38">
        <v>1.667</v>
      </c>
      <c r="C45" s="38">
        <v>1.593</v>
      </c>
      <c r="D45" s="38">
        <v>1.6619999999999999</v>
      </c>
      <c r="E45" s="38">
        <v>2.0539999999999998</v>
      </c>
    </row>
    <row r="46" spans="1:5">
      <c r="A46" s="55" t="s">
        <v>816</v>
      </c>
      <c r="B46" s="38">
        <v>1.706</v>
      </c>
      <c r="C46" s="38">
        <v>1.6359999999999999</v>
      </c>
      <c r="D46" s="38">
        <v>1.708</v>
      </c>
      <c r="E46" s="38">
        <v>2.0939999999999999</v>
      </c>
    </row>
    <row r="47" spans="1:5">
      <c r="A47" s="55" t="s">
        <v>817</v>
      </c>
      <c r="B47" s="38">
        <v>1.722</v>
      </c>
      <c r="C47" s="38">
        <v>1.653</v>
      </c>
      <c r="D47" s="38">
        <v>1.7210000000000001</v>
      </c>
      <c r="E47" s="38">
        <v>2.0840000000000001</v>
      </c>
    </row>
    <row r="48" spans="1:5">
      <c r="A48" s="55" t="s">
        <v>818</v>
      </c>
      <c r="B48" s="38">
        <v>1.7210000000000001</v>
      </c>
      <c r="C48" s="38">
        <v>1.653</v>
      </c>
      <c r="D48" s="38">
        <v>1.7230000000000001</v>
      </c>
      <c r="E48" s="38">
        <v>2.089</v>
      </c>
    </row>
    <row r="49" spans="1:5">
      <c r="A49" s="55" t="s">
        <v>819</v>
      </c>
      <c r="B49" s="38">
        <v>1.7010000000000001</v>
      </c>
      <c r="C49" s="38">
        <v>1.633</v>
      </c>
      <c r="D49" s="38">
        <v>1.706</v>
      </c>
      <c r="E49" s="38">
        <v>2.0699999999999998</v>
      </c>
    </row>
    <row r="50" spans="1:5">
      <c r="A50" s="55" t="s">
        <v>820</v>
      </c>
      <c r="B50" s="38">
        <v>1.6970000000000001</v>
      </c>
      <c r="C50" s="38">
        <v>1.6279999999999999</v>
      </c>
      <c r="D50" s="38">
        <v>1.71</v>
      </c>
      <c r="E50" s="38">
        <v>2.0990000000000002</v>
      </c>
    </row>
    <row r="51" spans="1:5">
      <c r="A51" s="55" t="s">
        <v>821</v>
      </c>
      <c r="B51" s="38">
        <v>1.738</v>
      </c>
      <c r="C51" s="38">
        <v>1.671</v>
      </c>
      <c r="D51" s="38">
        <v>1.758</v>
      </c>
      <c r="E51" s="38">
        <v>2.149</v>
      </c>
    </row>
    <row r="52" spans="1:5">
      <c r="A52" s="55" t="s">
        <v>822</v>
      </c>
      <c r="B52" s="38">
        <v>1.7509999999999999</v>
      </c>
      <c r="C52" s="38">
        <v>1.69</v>
      </c>
      <c r="D52" s="38">
        <v>1.7829999999999999</v>
      </c>
      <c r="E52" s="38">
        <v>2.1880000000000002</v>
      </c>
    </row>
    <row r="53" spans="1:5">
      <c r="A53" s="55" t="s">
        <v>823</v>
      </c>
      <c r="B53" s="38">
        <v>1.726</v>
      </c>
      <c r="C53" s="38">
        <v>1.66</v>
      </c>
      <c r="D53" s="38">
        <v>1.7490000000000001</v>
      </c>
      <c r="E53" s="38">
        <v>2.153</v>
      </c>
    </row>
    <row r="54" spans="1:5">
      <c r="A54" s="55" t="s">
        <v>824</v>
      </c>
      <c r="B54" s="38">
        <v>1.6659999999999999</v>
      </c>
      <c r="C54" s="38">
        <v>1.595</v>
      </c>
      <c r="D54" s="38">
        <v>1.6830000000000001</v>
      </c>
      <c r="E54" s="38">
        <v>2.0920000000000001</v>
      </c>
    </row>
    <row r="55" spans="1:5">
      <c r="A55" s="55" t="s">
        <v>825</v>
      </c>
      <c r="B55" s="38">
        <v>1.6759999999999999</v>
      </c>
      <c r="C55" s="38">
        <v>1.61</v>
      </c>
      <c r="D55" s="38">
        <v>1.69</v>
      </c>
      <c r="E55" s="38">
        <v>2.0819999999999999</v>
      </c>
    </row>
    <row r="56" spans="1:5">
      <c r="A56" s="55" t="s">
        <v>826</v>
      </c>
      <c r="B56" s="38">
        <v>1.6579999999999999</v>
      </c>
      <c r="C56" s="38">
        <v>1.5860000000000001</v>
      </c>
      <c r="D56" s="38">
        <v>1.6559999999999999</v>
      </c>
      <c r="E56" s="38">
        <v>2.0289999999999999</v>
      </c>
    </row>
    <row r="57" spans="1:5">
      <c r="A57" s="55" t="s">
        <v>827</v>
      </c>
      <c r="B57" s="38">
        <v>1.6639999999999999</v>
      </c>
      <c r="C57" s="38">
        <v>1.5960000000000001</v>
      </c>
      <c r="D57" s="38">
        <v>1.661</v>
      </c>
      <c r="E57" s="38">
        <v>2.0289999999999999</v>
      </c>
    </row>
    <row r="58" spans="1:5">
      <c r="A58" s="55" t="s">
        <v>828</v>
      </c>
      <c r="B58" s="38">
        <v>1.665</v>
      </c>
      <c r="C58" s="38">
        <v>1.599</v>
      </c>
      <c r="D58" s="38">
        <v>1.6619999999999999</v>
      </c>
      <c r="E58" s="38">
        <v>2.0310000000000001</v>
      </c>
    </row>
    <row r="59" spans="1:5">
      <c r="A59" s="55" t="s">
        <v>829</v>
      </c>
      <c r="B59" s="38">
        <v>1.6</v>
      </c>
      <c r="C59" s="38">
        <v>1.5349999999999999</v>
      </c>
      <c r="D59" s="38">
        <v>1.5980000000000001</v>
      </c>
      <c r="E59" s="38">
        <v>1.9610000000000001</v>
      </c>
    </row>
    <row r="60" spans="1:5">
      <c r="A60" s="55" t="s">
        <v>830</v>
      </c>
      <c r="B60" s="38">
        <v>1.587</v>
      </c>
      <c r="C60" s="38">
        <v>1.522</v>
      </c>
      <c r="D60" s="38">
        <v>1.5880000000000001</v>
      </c>
      <c r="E60" s="38">
        <v>1.9710000000000001</v>
      </c>
    </row>
    <row r="61" spans="1:5">
      <c r="A61" s="55" t="s">
        <v>831</v>
      </c>
      <c r="B61" s="38">
        <v>1.595</v>
      </c>
      <c r="C61" s="38">
        <v>1.536</v>
      </c>
      <c r="D61" s="38">
        <v>1.601</v>
      </c>
      <c r="E61" s="38">
        <v>1.9770000000000001</v>
      </c>
    </row>
    <row r="62" spans="1:5">
      <c r="A62" s="55" t="s">
        <v>832</v>
      </c>
      <c r="B62" s="38">
        <v>1.6060000000000001</v>
      </c>
      <c r="C62" s="38">
        <v>1.5469999999999999</v>
      </c>
      <c r="D62" s="38">
        <v>1.609</v>
      </c>
      <c r="E62" s="38">
        <v>1.982</v>
      </c>
    </row>
    <row r="63" spans="1:5">
      <c r="A63" s="55" t="s">
        <v>833</v>
      </c>
      <c r="B63" s="38">
        <v>1.5669999999999999</v>
      </c>
      <c r="C63" s="38">
        <v>1.502</v>
      </c>
      <c r="D63" s="38">
        <v>1.5609999999999999</v>
      </c>
      <c r="E63" s="38">
        <v>1.931</v>
      </c>
    </row>
    <row r="64" spans="1:5">
      <c r="A64" s="55" t="s">
        <v>834</v>
      </c>
      <c r="B64" s="38">
        <v>1.5529999999999999</v>
      </c>
      <c r="C64" s="38">
        <v>1.4890000000000001</v>
      </c>
      <c r="D64" s="38">
        <v>1.5509999999999999</v>
      </c>
      <c r="E64" s="38">
        <v>1.9350000000000001</v>
      </c>
    </row>
    <row r="65" spans="1:5">
      <c r="A65" s="55" t="s">
        <v>835</v>
      </c>
      <c r="B65" s="38">
        <v>1.534</v>
      </c>
      <c r="C65" s="38">
        <v>1.464</v>
      </c>
      <c r="D65" s="38">
        <v>1.5209999999999999</v>
      </c>
      <c r="E65" s="38">
        <v>1.877</v>
      </c>
    </row>
    <row r="66" spans="1:5">
      <c r="A66" s="55" t="s">
        <v>836</v>
      </c>
      <c r="B66" s="38">
        <v>1.5029999999999999</v>
      </c>
      <c r="C66" s="38">
        <v>1.4339999999999999</v>
      </c>
      <c r="D66" s="38">
        <v>1.4890000000000001</v>
      </c>
      <c r="E66" s="38">
        <v>1.8320000000000001</v>
      </c>
    </row>
    <row r="67" spans="1:5">
      <c r="A67" s="55" t="s">
        <v>837</v>
      </c>
      <c r="B67" s="38">
        <v>1.4770000000000001</v>
      </c>
      <c r="C67" s="38">
        <v>1.403</v>
      </c>
      <c r="D67" s="38">
        <v>1.45</v>
      </c>
      <c r="E67" s="38">
        <v>1.778</v>
      </c>
    </row>
    <row r="68" spans="1:5">
      <c r="A68" s="55" t="s">
        <v>838</v>
      </c>
      <c r="B68" s="38">
        <v>1.5169999999999999</v>
      </c>
      <c r="C68" s="38">
        <v>1.44</v>
      </c>
      <c r="D68" s="38">
        <v>1.4850000000000001</v>
      </c>
      <c r="E68" s="38">
        <v>1.823</v>
      </c>
    </row>
    <row r="69" spans="1:5">
      <c r="A69" s="55" t="s">
        <v>839</v>
      </c>
      <c r="B69" s="38">
        <v>1.4830000000000001</v>
      </c>
      <c r="C69" s="38">
        <v>1.397</v>
      </c>
      <c r="D69" s="38">
        <v>1.4350000000000001</v>
      </c>
      <c r="E69" s="38">
        <v>1.774</v>
      </c>
    </row>
    <row r="70" spans="1:5">
      <c r="A70" s="55" t="s">
        <v>840</v>
      </c>
      <c r="B70" s="38">
        <v>1.462</v>
      </c>
      <c r="C70" s="38">
        <v>1.3740000000000001</v>
      </c>
      <c r="D70" s="38">
        <v>1.4079999999999999</v>
      </c>
      <c r="E70" s="38">
        <v>1.724</v>
      </c>
    </row>
    <row r="71" spans="1:5">
      <c r="A71" s="55" t="s">
        <v>841</v>
      </c>
      <c r="B71" s="38">
        <v>1.4690000000000001</v>
      </c>
      <c r="C71" s="38">
        <v>1.3939999999999999</v>
      </c>
      <c r="D71" s="38">
        <v>1.4350000000000001</v>
      </c>
      <c r="E71" s="38">
        <v>1.7729999999999999</v>
      </c>
    </row>
    <row r="72" spans="1:5">
      <c r="A72" s="55" t="s">
        <v>842</v>
      </c>
      <c r="B72" s="38">
        <v>1.4850000000000001</v>
      </c>
      <c r="C72" s="38">
        <v>1.413</v>
      </c>
      <c r="D72" s="38">
        <v>1.458</v>
      </c>
      <c r="E72" s="38">
        <v>1.8</v>
      </c>
    </row>
    <row r="73" spans="1:5">
      <c r="A73" s="55" t="s">
        <v>843</v>
      </c>
      <c r="B73" s="38">
        <v>1.452</v>
      </c>
      <c r="C73" s="38">
        <v>1.3779999999999999</v>
      </c>
      <c r="D73" s="38">
        <v>1.429</v>
      </c>
      <c r="E73" s="38">
        <v>1.8080000000000001</v>
      </c>
    </row>
    <row r="74" spans="1:5">
      <c r="A74" s="55" t="s">
        <v>844</v>
      </c>
      <c r="B74" s="38">
        <v>1.462</v>
      </c>
      <c r="C74" s="38">
        <v>1.4059999999999999</v>
      </c>
      <c r="D74" s="38">
        <v>1.4650000000000001</v>
      </c>
      <c r="E74" s="38">
        <v>1.837</v>
      </c>
    </row>
    <row r="75" spans="1:5">
      <c r="A75" s="55" t="s">
        <v>845</v>
      </c>
      <c r="B75" s="38">
        <v>1.494</v>
      </c>
      <c r="C75" s="38">
        <v>1.44</v>
      </c>
      <c r="D75" s="38">
        <v>1.5049999999999999</v>
      </c>
      <c r="E75" s="38">
        <v>1.891</v>
      </c>
    </row>
    <row r="76" spans="1:5">
      <c r="A76" s="55" t="s">
        <v>846</v>
      </c>
      <c r="B76" s="38">
        <v>1.506</v>
      </c>
      <c r="C76" s="38">
        <v>1.4550000000000001</v>
      </c>
      <c r="D76" s="38">
        <v>1.52</v>
      </c>
      <c r="E76" s="38">
        <v>1.901</v>
      </c>
    </row>
    <row r="77" spans="1:5">
      <c r="A77" s="55" t="s">
        <v>847</v>
      </c>
      <c r="B77" s="38">
        <v>1.48</v>
      </c>
      <c r="C77" s="38">
        <v>1.43</v>
      </c>
      <c r="D77" s="38">
        <v>1.494</v>
      </c>
      <c r="E77" s="38">
        <v>1.871</v>
      </c>
    </row>
    <row r="78" spans="1:5">
      <c r="A78" s="55" t="s">
        <v>848</v>
      </c>
      <c r="B78" s="38">
        <v>1.4870000000000001</v>
      </c>
      <c r="C78" s="38">
        <v>1.4319999999999999</v>
      </c>
      <c r="D78" s="38">
        <v>1.5009999999999999</v>
      </c>
      <c r="E78" s="38">
        <v>1.897</v>
      </c>
    </row>
    <row r="79" spans="1:5">
      <c r="A79" s="55" t="s">
        <v>849</v>
      </c>
      <c r="B79" s="38">
        <v>1.4910000000000001</v>
      </c>
      <c r="C79" s="38">
        <v>1.4359999999999999</v>
      </c>
      <c r="D79" s="38">
        <v>1.502</v>
      </c>
      <c r="E79" s="38">
        <v>1.871</v>
      </c>
    </row>
    <row r="80" spans="1:5">
      <c r="A80" s="55" t="s">
        <v>850</v>
      </c>
      <c r="B80" s="38">
        <v>1.4890000000000001</v>
      </c>
      <c r="C80" s="38">
        <v>1.4350000000000001</v>
      </c>
      <c r="D80" s="38">
        <v>1.5</v>
      </c>
      <c r="E80" s="38">
        <v>1.8560000000000001</v>
      </c>
    </row>
    <row r="81" spans="1:5">
      <c r="A81" s="55" t="s">
        <v>851</v>
      </c>
      <c r="B81" s="38">
        <v>1.496</v>
      </c>
      <c r="C81" s="38">
        <v>1.4430000000000001</v>
      </c>
      <c r="D81" s="38">
        <v>1.514</v>
      </c>
      <c r="E81" s="38">
        <v>1.8819999999999999</v>
      </c>
    </row>
    <row r="82" spans="1:5">
      <c r="A82" s="55" t="s">
        <v>852</v>
      </c>
      <c r="B82" s="38">
        <v>1.528</v>
      </c>
      <c r="C82" s="38">
        <v>1.4830000000000001</v>
      </c>
      <c r="D82" s="38">
        <v>1.5609999999999999</v>
      </c>
      <c r="E82" s="38">
        <v>1.95</v>
      </c>
    </row>
    <row r="83" spans="1:5">
      <c r="A83" s="55" t="s">
        <v>853</v>
      </c>
      <c r="B83" s="38">
        <v>1.502</v>
      </c>
      <c r="C83" s="38">
        <v>1.458</v>
      </c>
      <c r="D83" s="38">
        <v>1.5369999999999999</v>
      </c>
      <c r="E83" s="38">
        <v>1.929</v>
      </c>
    </row>
    <row r="84" spans="1:5">
      <c r="A84" s="55" t="s">
        <v>854</v>
      </c>
      <c r="B84" s="38">
        <v>1.5069999999999999</v>
      </c>
      <c r="C84" s="38">
        <v>1.4650000000000001</v>
      </c>
      <c r="D84" s="38">
        <v>1.5509999999999999</v>
      </c>
      <c r="E84" s="38">
        <v>1.954</v>
      </c>
    </row>
    <row r="85" spans="1:5">
      <c r="A85" s="55" t="s">
        <v>855</v>
      </c>
      <c r="B85" s="38">
        <v>1.514</v>
      </c>
      <c r="C85" s="38">
        <v>1.47</v>
      </c>
      <c r="D85" s="38">
        <v>1.5569999999999999</v>
      </c>
      <c r="E85" s="38">
        <v>1.9490000000000001</v>
      </c>
    </row>
    <row r="86" spans="1:5">
      <c r="A86" s="55" t="s">
        <v>856</v>
      </c>
      <c r="B86" s="38">
        <v>1.4750000000000001</v>
      </c>
      <c r="C86" s="38">
        <v>1.4259999999999999</v>
      </c>
      <c r="D86" s="38">
        <v>1.5149999999999999</v>
      </c>
      <c r="E86" s="38">
        <v>1.8939999999999999</v>
      </c>
    </row>
    <row r="87" spans="1:5">
      <c r="A87" s="55" t="s">
        <v>857</v>
      </c>
      <c r="B87" s="38">
        <v>1.323</v>
      </c>
      <c r="C87" s="38">
        <v>1.272</v>
      </c>
      <c r="D87" s="38">
        <v>1.375</v>
      </c>
      <c r="E87" s="38">
        <v>1.7869999999999999</v>
      </c>
    </row>
    <row r="88" spans="1:5">
      <c r="A88" s="55" t="s">
        <v>858</v>
      </c>
      <c r="B88" s="38">
        <v>1.337</v>
      </c>
      <c r="C88" s="38">
        <v>1.29</v>
      </c>
      <c r="D88" s="38">
        <v>1.3919999999999999</v>
      </c>
      <c r="E88" s="38">
        <v>1.7769999999999999</v>
      </c>
    </row>
    <row r="89" spans="1:5">
      <c r="A89" s="55" t="s">
        <v>859</v>
      </c>
      <c r="B89" s="38">
        <v>1.341</v>
      </c>
      <c r="C89" s="38">
        <v>1.294</v>
      </c>
      <c r="D89" s="38">
        <v>1.3959999999999999</v>
      </c>
      <c r="E89" s="38">
        <v>1.7869999999999999</v>
      </c>
    </row>
    <row r="90" spans="1:5">
      <c r="A90" s="55" t="s">
        <v>860</v>
      </c>
      <c r="B90" s="38">
        <v>1.3240000000000001</v>
      </c>
      <c r="C90" s="38">
        <v>1.2769999999999999</v>
      </c>
      <c r="D90" s="38">
        <v>1.379</v>
      </c>
      <c r="E90" s="38">
        <v>1.7869999999999999</v>
      </c>
    </row>
    <row r="91" spans="1:5">
      <c r="A91" s="55" t="s">
        <v>861</v>
      </c>
      <c r="B91" s="38">
        <v>1.319</v>
      </c>
      <c r="C91" s="38">
        <v>1.272</v>
      </c>
      <c r="D91" s="38">
        <v>1.375</v>
      </c>
      <c r="E91" s="38">
        <v>1.7809999999999999</v>
      </c>
    </row>
    <row r="92" spans="1:5">
      <c r="A92" s="55" t="s">
        <v>862</v>
      </c>
      <c r="B92" s="38">
        <v>1.32</v>
      </c>
      <c r="C92" s="38">
        <v>1.2829999999999999</v>
      </c>
      <c r="D92" s="38">
        <v>1.385</v>
      </c>
      <c r="E92" s="38">
        <v>1.786</v>
      </c>
    </row>
    <row r="93" spans="1:5">
      <c r="A93" s="55" t="s">
        <v>863</v>
      </c>
      <c r="B93" s="38">
        <v>1.3169999999999999</v>
      </c>
      <c r="C93" s="38">
        <v>1.2829999999999999</v>
      </c>
      <c r="D93" s="38">
        <v>1.385</v>
      </c>
      <c r="E93" s="38">
        <v>1.79</v>
      </c>
    </row>
    <row r="94" spans="1:5">
      <c r="A94" s="55" t="s">
        <v>864</v>
      </c>
      <c r="B94" s="38">
        <v>1.284</v>
      </c>
      <c r="C94" s="38">
        <v>1.2430000000000001</v>
      </c>
      <c r="D94" s="38">
        <v>1.339</v>
      </c>
      <c r="E94" s="38">
        <v>1.736</v>
      </c>
    </row>
    <row r="95" spans="1:5">
      <c r="A95" s="55" t="s">
        <v>865</v>
      </c>
      <c r="B95" s="38">
        <v>1.363</v>
      </c>
      <c r="C95" s="38">
        <v>1.3180000000000001</v>
      </c>
      <c r="D95" s="38">
        <v>1.4</v>
      </c>
      <c r="E95" s="38">
        <v>1.782</v>
      </c>
    </row>
    <row r="96" spans="1:5">
      <c r="A96" s="55" t="s">
        <v>866</v>
      </c>
      <c r="B96" s="38">
        <v>1.329</v>
      </c>
      <c r="C96" s="38">
        <v>1.2829999999999999</v>
      </c>
      <c r="D96" s="38">
        <v>1.359</v>
      </c>
      <c r="E96" s="38">
        <v>1.7330000000000001</v>
      </c>
    </row>
    <row r="97" spans="1:5">
      <c r="A97" s="55" t="s">
        <v>867</v>
      </c>
      <c r="B97" s="38">
        <v>1.3089999999999999</v>
      </c>
      <c r="C97" s="38">
        <v>1.268</v>
      </c>
      <c r="D97" s="38">
        <v>1.339</v>
      </c>
      <c r="E97" s="38">
        <v>1.7090000000000001</v>
      </c>
    </row>
    <row r="98" spans="1:5">
      <c r="A98" s="55" t="s">
        <v>868</v>
      </c>
      <c r="B98" s="38">
        <v>1.3149999999999999</v>
      </c>
      <c r="C98" s="38">
        <v>1.274</v>
      </c>
      <c r="D98" s="38">
        <v>1.3480000000000001</v>
      </c>
      <c r="E98" s="38">
        <v>1.7290000000000001</v>
      </c>
    </row>
    <row r="99" spans="1:5">
      <c r="A99" s="55" t="s">
        <v>869</v>
      </c>
      <c r="B99" s="38">
        <v>1.3049999999999999</v>
      </c>
      <c r="C99" s="38">
        <v>1.264</v>
      </c>
      <c r="D99" s="38">
        <v>1.3380000000000001</v>
      </c>
      <c r="E99" s="38">
        <v>1.7250000000000001</v>
      </c>
    </row>
    <row r="100" spans="1:5">
      <c r="A100" s="55" t="s">
        <v>870</v>
      </c>
      <c r="B100" s="38">
        <v>1.2809999999999999</v>
      </c>
      <c r="C100" s="38">
        <v>1.2390000000000001</v>
      </c>
      <c r="D100" s="38">
        <v>1.3140000000000001</v>
      </c>
      <c r="E100" s="38">
        <v>1.7</v>
      </c>
    </row>
    <row r="101" spans="1:5">
      <c r="A101" s="55" t="s">
        <v>871</v>
      </c>
      <c r="B101" s="38">
        <v>1.2789999999999999</v>
      </c>
      <c r="C101" s="38">
        <v>1.2390000000000001</v>
      </c>
      <c r="D101" s="38">
        <v>1.3160000000000001</v>
      </c>
      <c r="E101" s="38">
        <v>1.6950000000000001</v>
      </c>
    </row>
    <row r="102" spans="1:5">
      <c r="A102" s="55" t="s">
        <v>872</v>
      </c>
      <c r="B102" s="38">
        <v>1.224</v>
      </c>
      <c r="C102" s="38">
        <v>1.1870000000000001</v>
      </c>
      <c r="D102" s="38">
        <v>1.268</v>
      </c>
      <c r="E102" s="38">
        <v>1.64</v>
      </c>
    </row>
    <row r="103" spans="1:5">
      <c r="A103" s="55" t="s">
        <v>873</v>
      </c>
      <c r="B103" s="38">
        <v>1.21</v>
      </c>
      <c r="C103" s="38">
        <v>1.1830000000000001</v>
      </c>
      <c r="D103" s="38">
        <v>1.272</v>
      </c>
      <c r="E103" s="38">
        <v>1.641</v>
      </c>
    </row>
    <row r="104" spans="1:5">
      <c r="A104" s="55" t="s">
        <v>874</v>
      </c>
      <c r="B104" s="38">
        <v>1.2529999999999999</v>
      </c>
      <c r="C104" s="38">
        <v>1.232</v>
      </c>
      <c r="D104" s="38">
        <v>1.32</v>
      </c>
      <c r="E104" s="38">
        <v>1.6759999999999999</v>
      </c>
    </row>
    <row r="105" spans="1:5">
      <c r="A105" s="55" t="s">
        <v>875</v>
      </c>
      <c r="B105" s="38">
        <v>1.1990000000000001</v>
      </c>
      <c r="C105" s="38">
        <v>1.181</v>
      </c>
      <c r="D105" s="38">
        <v>1.2689999999999999</v>
      </c>
      <c r="E105" s="38">
        <v>1.6359999999999999</v>
      </c>
    </row>
    <row r="106" spans="1:5">
      <c r="A106" s="55" t="s">
        <v>876</v>
      </c>
      <c r="B106" s="38">
        <v>1.1950000000000001</v>
      </c>
      <c r="C106" s="38">
        <v>1.177</v>
      </c>
      <c r="D106" s="38">
        <v>1.27</v>
      </c>
      <c r="E106" s="38">
        <v>1.6359999999999999</v>
      </c>
    </row>
    <row r="107" spans="1:5">
      <c r="A107" s="55" t="s">
        <v>877</v>
      </c>
      <c r="B107" s="38">
        <v>1.1499999999999999</v>
      </c>
      <c r="C107" s="38">
        <v>1.1379999999999999</v>
      </c>
      <c r="D107" s="38">
        <v>1.2310000000000001</v>
      </c>
      <c r="E107" s="38">
        <v>1.581</v>
      </c>
    </row>
    <row r="108" spans="1:5">
      <c r="A108" s="55" t="s">
        <v>878</v>
      </c>
      <c r="B108" s="38">
        <v>1.105</v>
      </c>
      <c r="C108" s="38">
        <v>1.0940000000000001</v>
      </c>
      <c r="D108" s="38">
        <v>1.1850000000000001</v>
      </c>
      <c r="E108" s="38">
        <v>1.522</v>
      </c>
    </row>
    <row r="109" spans="1:5">
      <c r="A109" s="55" t="s">
        <v>879</v>
      </c>
      <c r="B109" s="38">
        <v>1.1359999999999999</v>
      </c>
      <c r="C109" s="38">
        <v>1.125</v>
      </c>
      <c r="D109" s="38">
        <v>1.216</v>
      </c>
      <c r="E109" s="38">
        <v>1.552</v>
      </c>
    </row>
    <row r="110" spans="1:5">
      <c r="A110" s="55" t="s">
        <v>880</v>
      </c>
      <c r="B110" s="38">
        <v>1.127</v>
      </c>
      <c r="C110" s="38">
        <v>1.1160000000000001</v>
      </c>
      <c r="D110" s="38">
        <v>1.206</v>
      </c>
      <c r="E110" s="38">
        <v>1.5369999999999999</v>
      </c>
    </row>
    <row r="111" spans="1:5">
      <c r="A111" s="55" t="s">
        <v>881</v>
      </c>
      <c r="B111" s="38">
        <v>1.1060000000000001</v>
      </c>
      <c r="C111" s="38">
        <v>1.0920000000000001</v>
      </c>
      <c r="D111" s="38">
        <v>1.175</v>
      </c>
      <c r="E111" s="38">
        <v>1.4850000000000001</v>
      </c>
    </row>
    <row r="112" spans="1:5">
      <c r="A112" s="55" t="s">
        <v>882</v>
      </c>
      <c r="B112" s="38">
        <v>1.141</v>
      </c>
      <c r="C112" s="38">
        <v>1.1279999999999999</v>
      </c>
      <c r="D112" s="38">
        <v>1.2130000000000001</v>
      </c>
      <c r="E112" s="38">
        <v>1.534</v>
      </c>
    </row>
    <row r="113" spans="1:5">
      <c r="A113" s="55" t="s">
        <v>883</v>
      </c>
      <c r="B113" s="38">
        <v>1.111</v>
      </c>
      <c r="C113" s="38">
        <v>1.097</v>
      </c>
      <c r="D113" s="38">
        <v>1.167</v>
      </c>
      <c r="E113" s="38">
        <v>1.4590000000000001</v>
      </c>
    </row>
    <row r="114" spans="1:5">
      <c r="A114" s="55" t="s">
        <v>884</v>
      </c>
      <c r="B114" s="38">
        <v>1.129</v>
      </c>
      <c r="C114" s="38">
        <v>1.1200000000000001</v>
      </c>
      <c r="D114" s="38">
        <v>1.196</v>
      </c>
      <c r="E114" s="38">
        <v>1.5089999999999999</v>
      </c>
    </row>
    <row r="115" spans="1:5">
      <c r="A115" s="55" t="s">
        <v>885</v>
      </c>
      <c r="B115" s="38">
        <v>1.121</v>
      </c>
      <c r="C115" s="38">
        <v>1.113</v>
      </c>
      <c r="D115" s="38">
        <v>1.1890000000000001</v>
      </c>
      <c r="E115" s="38">
        <v>1.504</v>
      </c>
    </row>
    <row r="116" spans="1:5">
      <c r="A116" s="55" t="s">
        <v>886</v>
      </c>
      <c r="B116" s="38">
        <v>1.083</v>
      </c>
      <c r="C116" s="38">
        <v>1.075</v>
      </c>
      <c r="D116" s="38">
        <v>1.155</v>
      </c>
      <c r="E116" s="38">
        <v>1.484</v>
      </c>
    </row>
    <row r="117" spans="1:5">
      <c r="A117" s="55" t="s">
        <v>887</v>
      </c>
      <c r="B117" s="38">
        <v>1.0609999999999999</v>
      </c>
      <c r="C117" s="38">
        <v>1.0549999999999999</v>
      </c>
      <c r="D117" s="38">
        <v>1.131</v>
      </c>
      <c r="E117" s="38">
        <v>1.4690000000000001</v>
      </c>
    </row>
    <row r="118" spans="1:5">
      <c r="A118" s="55" t="s">
        <v>888</v>
      </c>
      <c r="B118" s="38">
        <v>1.075</v>
      </c>
      <c r="C118" s="38">
        <v>1.0649999999999999</v>
      </c>
      <c r="D118" s="38">
        <v>1.1379999999999999</v>
      </c>
      <c r="E118" s="38">
        <v>1.4730000000000001</v>
      </c>
    </row>
    <row r="119" spans="1:5">
      <c r="A119" s="55" t="s">
        <v>889</v>
      </c>
      <c r="B119" s="38">
        <v>1.06</v>
      </c>
      <c r="C119" s="38">
        <v>1.0489999999999999</v>
      </c>
      <c r="D119" s="38">
        <v>1.1240000000000001</v>
      </c>
      <c r="E119" s="38">
        <v>1.454</v>
      </c>
    </row>
    <row r="120" spans="1:5">
      <c r="A120" s="55" t="s">
        <v>890</v>
      </c>
      <c r="B120" s="38">
        <v>1.04</v>
      </c>
      <c r="C120" s="38">
        <v>1.028</v>
      </c>
      <c r="D120" s="38">
        <v>1.1000000000000001</v>
      </c>
      <c r="E120" s="38">
        <v>1.429</v>
      </c>
    </row>
    <row r="121" spans="1:5">
      <c r="A121" s="55" t="s">
        <v>891</v>
      </c>
      <c r="B121" s="38">
        <v>1.008</v>
      </c>
      <c r="C121" s="38">
        <v>0.99099999999999999</v>
      </c>
      <c r="D121" s="38">
        <v>1.0649999999999999</v>
      </c>
      <c r="E121" s="38">
        <v>1.405</v>
      </c>
    </row>
    <row r="122" spans="1:5">
      <c r="A122" s="55" t="s">
        <v>892</v>
      </c>
      <c r="B122" s="38">
        <v>0.997</v>
      </c>
      <c r="C122" s="38">
        <v>0.98</v>
      </c>
      <c r="D122" s="38">
        <v>1.0529999999999999</v>
      </c>
      <c r="E122" s="38">
        <v>1.375</v>
      </c>
    </row>
    <row r="123" spans="1:5">
      <c r="A123" s="55" t="s">
        <v>893</v>
      </c>
      <c r="B123" s="38">
        <v>1.03</v>
      </c>
      <c r="C123" s="38">
        <v>1.016</v>
      </c>
      <c r="D123" s="38">
        <v>1.0840000000000001</v>
      </c>
      <c r="E123" s="38">
        <v>1.393</v>
      </c>
    </row>
    <row r="124" spans="1:5">
      <c r="A124" s="55" t="s">
        <v>894</v>
      </c>
      <c r="B124" s="38">
        <v>1.01</v>
      </c>
      <c r="C124" s="38">
        <v>1</v>
      </c>
      <c r="D124" s="38">
        <v>1.0649999999999999</v>
      </c>
      <c r="E124" s="38">
        <v>1.373</v>
      </c>
    </row>
    <row r="125" spans="1:5">
      <c r="A125" s="55" t="s">
        <v>895</v>
      </c>
      <c r="B125" s="38">
        <v>0.97599999999999998</v>
      </c>
      <c r="C125" s="38">
        <v>0.96499999999999997</v>
      </c>
      <c r="D125" s="38">
        <v>1.03</v>
      </c>
      <c r="E125" s="38">
        <v>1.343</v>
      </c>
    </row>
    <row r="126" spans="1:5">
      <c r="A126" s="55" t="s">
        <v>896</v>
      </c>
      <c r="B126" s="38">
        <v>0.93100000000000005</v>
      </c>
      <c r="C126" s="38">
        <v>0.91600000000000004</v>
      </c>
      <c r="D126" s="38">
        <v>0.98299999999999998</v>
      </c>
      <c r="E126" s="38">
        <v>1.2969999999999999</v>
      </c>
    </row>
    <row r="127" spans="1:5">
      <c r="A127" s="55" t="s">
        <v>897</v>
      </c>
      <c r="B127" s="38">
        <v>0.90600000000000003</v>
      </c>
      <c r="C127" s="38">
        <v>0.89100000000000001</v>
      </c>
      <c r="D127" s="38">
        <v>0.96</v>
      </c>
      <c r="E127" s="38">
        <v>1.2829999999999999</v>
      </c>
    </row>
    <row r="128" spans="1:5">
      <c r="A128" s="55" t="s">
        <v>898</v>
      </c>
      <c r="B128" s="38">
        <v>0.91200000000000003</v>
      </c>
      <c r="C128" s="38">
        <v>0.90100000000000002</v>
      </c>
      <c r="D128" s="38">
        <v>0.97099999999999997</v>
      </c>
      <c r="E128" s="38">
        <v>1.2989999999999999</v>
      </c>
    </row>
    <row r="129" spans="1:5">
      <c r="A129" s="55" t="s">
        <v>899</v>
      </c>
      <c r="B129" s="38">
        <v>0.90500000000000003</v>
      </c>
      <c r="C129" s="38">
        <v>0.89500000000000002</v>
      </c>
      <c r="D129" s="38">
        <v>0.96199999999999997</v>
      </c>
      <c r="E129" s="38">
        <v>1.2849999999999999</v>
      </c>
    </row>
    <row r="130" spans="1:5">
      <c r="A130" s="55" t="s">
        <v>900</v>
      </c>
      <c r="B130" s="38">
        <v>0.94499999999999995</v>
      </c>
      <c r="C130" s="38">
        <v>0.92100000000000004</v>
      </c>
      <c r="D130" s="38">
        <v>0.98299999999999998</v>
      </c>
      <c r="E130" s="38">
        <v>1.282</v>
      </c>
    </row>
    <row r="131" spans="1:5">
      <c r="A131" s="55" t="s">
        <v>901</v>
      </c>
      <c r="B131" s="38">
        <v>0.98399999999999999</v>
      </c>
      <c r="C131" s="38">
        <v>0.96799999999999997</v>
      </c>
      <c r="D131" s="38">
        <v>1.0369999999999999</v>
      </c>
      <c r="E131" s="38">
        <v>1.35</v>
      </c>
    </row>
    <row r="132" spans="1:5">
      <c r="A132" s="55" t="s">
        <v>902</v>
      </c>
      <c r="B132" s="38">
        <v>0.97299999999999998</v>
      </c>
      <c r="C132" s="38">
        <v>0.95599999999999996</v>
      </c>
      <c r="D132" s="38">
        <v>1.0269999999999999</v>
      </c>
      <c r="E132" s="38">
        <v>1.325</v>
      </c>
    </row>
    <row r="133" spans="1:5">
      <c r="A133" s="55" t="s">
        <v>903</v>
      </c>
      <c r="B133" s="38">
        <v>0.98199999999999998</v>
      </c>
      <c r="C133" s="38">
        <v>0.97599999999999998</v>
      </c>
      <c r="D133" s="38">
        <v>1.0489999999999999</v>
      </c>
      <c r="E133" s="38">
        <v>1.359</v>
      </c>
    </row>
    <row r="134" spans="1:5">
      <c r="A134" s="55" t="s">
        <v>904</v>
      </c>
      <c r="B134" s="38">
        <v>0.96899999999999997</v>
      </c>
      <c r="C134" s="38">
        <v>0.96599999999999997</v>
      </c>
      <c r="D134" s="38">
        <v>1.04</v>
      </c>
      <c r="E134" s="38">
        <v>1.337</v>
      </c>
    </row>
    <row r="135" spans="1:5">
      <c r="A135" s="55" t="s">
        <v>905</v>
      </c>
      <c r="B135" s="38">
        <v>0.92800000000000005</v>
      </c>
      <c r="C135" s="38">
        <v>0.92100000000000004</v>
      </c>
      <c r="D135" s="38">
        <v>0.995</v>
      </c>
      <c r="E135" s="38">
        <v>1.282</v>
      </c>
    </row>
    <row r="136" spans="1:5">
      <c r="A136" s="55" t="s">
        <v>906</v>
      </c>
      <c r="B136" s="38">
        <v>0.94</v>
      </c>
      <c r="C136" s="38">
        <v>0.93400000000000005</v>
      </c>
      <c r="D136" s="38">
        <v>1.0069999999999999</v>
      </c>
      <c r="E136" s="38">
        <v>1.296</v>
      </c>
    </row>
    <row r="137" spans="1:5">
      <c r="A137" s="55" t="s">
        <v>907</v>
      </c>
      <c r="B137" s="38">
        <v>0.94</v>
      </c>
      <c r="C137" s="38">
        <v>0.93300000000000005</v>
      </c>
      <c r="D137" s="38">
        <v>1</v>
      </c>
      <c r="E137" s="38">
        <v>1.286</v>
      </c>
    </row>
    <row r="138" spans="1:5">
      <c r="A138" s="55" t="s">
        <v>908</v>
      </c>
      <c r="B138" s="38">
        <v>0.96099999999999997</v>
      </c>
      <c r="C138" s="38">
        <v>0.95199999999999996</v>
      </c>
      <c r="D138" s="38">
        <v>1.0209999999999999</v>
      </c>
      <c r="E138" s="38">
        <v>1.3260000000000001</v>
      </c>
    </row>
    <row r="139" spans="1:5">
      <c r="A139" s="55" t="s">
        <v>909</v>
      </c>
      <c r="B139" s="38">
        <v>0.95699999999999996</v>
      </c>
      <c r="C139" s="38">
        <v>0.94599999999999995</v>
      </c>
      <c r="D139" s="38">
        <v>1.014</v>
      </c>
      <c r="E139" s="38">
        <v>1.3220000000000001</v>
      </c>
    </row>
    <row r="140" spans="1:5">
      <c r="A140" s="55" t="s">
        <v>910</v>
      </c>
      <c r="B140" s="38">
        <v>0.98199999999999998</v>
      </c>
      <c r="C140" s="38">
        <v>0.97</v>
      </c>
      <c r="D140" s="38">
        <v>1.04</v>
      </c>
      <c r="E140" s="38">
        <v>1.357</v>
      </c>
    </row>
    <row r="141" spans="1:5">
      <c r="A141" s="55" t="s">
        <v>911</v>
      </c>
      <c r="B141" s="38">
        <v>0.94599999999999995</v>
      </c>
      <c r="C141" s="38">
        <v>0.93500000000000005</v>
      </c>
      <c r="D141" s="38">
        <v>1.008</v>
      </c>
      <c r="E141" s="38">
        <v>1.337</v>
      </c>
    </row>
    <row r="142" spans="1:5">
      <c r="A142" s="55" t="s">
        <v>912</v>
      </c>
      <c r="B142" s="38">
        <v>0.98899999999999999</v>
      </c>
      <c r="C142" s="38">
        <v>0.98199999999999998</v>
      </c>
      <c r="D142" s="38">
        <v>1.071</v>
      </c>
      <c r="E142" s="38">
        <v>1.4419999999999999</v>
      </c>
    </row>
    <row r="143" spans="1:5">
      <c r="A143" s="55" t="s">
        <v>913</v>
      </c>
      <c r="B143" s="38">
        <v>0.998</v>
      </c>
      <c r="C143" s="38">
        <v>0.996</v>
      </c>
      <c r="D143" s="38">
        <v>1.0880000000000001</v>
      </c>
      <c r="E143" s="38">
        <v>1.458</v>
      </c>
    </row>
    <row r="144" spans="1:5">
      <c r="A144" s="55" t="s">
        <v>914</v>
      </c>
      <c r="B144" s="38">
        <v>0.96299999999999997</v>
      </c>
      <c r="C144" s="38">
        <v>0.96199999999999997</v>
      </c>
      <c r="D144" s="38">
        <v>1.0489999999999999</v>
      </c>
      <c r="E144" s="38">
        <v>1.4079999999999999</v>
      </c>
    </row>
    <row r="145" spans="1:5">
      <c r="A145" s="55" t="s">
        <v>915</v>
      </c>
      <c r="B145" s="38">
        <v>0.94799999999999995</v>
      </c>
      <c r="C145" s="38">
        <v>0.94799999999999995</v>
      </c>
      <c r="D145" s="38">
        <v>1.0349999999999999</v>
      </c>
      <c r="E145" s="38">
        <v>1.399</v>
      </c>
    </row>
    <row r="146" spans="1:5">
      <c r="A146" s="55" t="s">
        <v>916</v>
      </c>
      <c r="B146" s="38">
        <v>0.94099999999999995</v>
      </c>
      <c r="C146" s="38">
        <v>0.93300000000000005</v>
      </c>
      <c r="D146" s="38">
        <v>1.016</v>
      </c>
      <c r="E146" s="38">
        <v>1.3540000000000001</v>
      </c>
    </row>
    <row r="147" spans="1:5">
      <c r="A147" s="55" t="s">
        <v>917</v>
      </c>
      <c r="B147" s="38">
        <v>0.95599999999999996</v>
      </c>
      <c r="C147" s="38">
        <v>0.94299999999999995</v>
      </c>
      <c r="D147" s="38">
        <v>1.0249999999999999</v>
      </c>
      <c r="E147" s="38">
        <v>1.3580000000000001</v>
      </c>
    </row>
    <row r="148" spans="1:5">
      <c r="A148" s="55" t="s">
        <v>918</v>
      </c>
      <c r="B148" s="38">
        <v>0.94599999999999995</v>
      </c>
      <c r="C148" s="38">
        <v>0.93300000000000005</v>
      </c>
      <c r="D148" s="38">
        <v>1.0149999999999999</v>
      </c>
      <c r="E148" s="38">
        <v>1.337</v>
      </c>
    </row>
    <row r="149" spans="1:5">
      <c r="A149" s="55" t="s">
        <v>919</v>
      </c>
      <c r="B149" s="38">
        <v>0.94</v>
      </c>
      <c r="C149" s="38">
        <v>0.92300000000000004</v>
      </c>
      <c r="D149" s="38">
        <v>0.998</v>
      </c>
      <c r="E149" s="38">
        <v>1.3220000000000001</v>
      </c>
    </row>
    <row r="150" spans="1:5">
      <c r="A150" s="55" t="s">
        <v>920</v>
      </c>
      <c r="B150" s="38">
        <v>0.90700000000000003</v>
      </c>
      <c r="C150" s="38">
        <v>0.88900000000000001</v>
      </c>
      <c r="D150" s="38">
        <v>0.96799999999999997</v>
      </c>
      <c r="E150" s="38">
        <v>1.3029999999999999</v>
      </c>
    </row>
    <row r="151" spans="1:5">
      <c r="A151" s="55" t="s">
        <v>921</v>
      </c>
      <c r="B151" s="38">
        <v>0.86499999999999999</v>
      </c>
      <c r="C151" s="38">
        <v>0.84399999999999997</v>
      </c>
      <c r="D151" s="38">
        <v>0.91800000000000004</v>
      </c>
      <c r="E151" s="38">
        <v>1.234</v>
      </c>
    </row>
    <row r="152" spans="1:5">
      <c r="A152" s="55" t="s">
        <v>922</v>
      </c>
      <c r="B152" s="38">
        <v>0.87</v>
      </c>
      <c r="C152" s="38">
        <v>0.84499999999999997</v>
      </c>
      <c r="D152" s="38">
        <v>0.91500000000000004</v>
      </c>
      <c r="E152" s="38">
        <v>1.234</v>
      </c>
    </row>
    <row r="153" spans="1:5">
      <c r="A153" s="55" t="s">
        <v>923</v>
      </c>
      <c r="B153" s="38">
        <v>0.85199999999999998</v>
      </c>
      <c r="C153" s="38">
        <v>0.82499999999999996</v>
      </c>
      <c r="D153" s="38">
        <v>0.89400000000000002</v>
      </c>
      <c r="E153" s="38">
        <v>1.2150000000000001</v>
      </c>
    </row>
    <row r="154" spans="1:5">
      <c r="A154" s="55" t="s">
        <v>924</v>
      </c>
      <c r="B154" s="38">
        <v>0.84199999999999997</v>
      </c>
      <c r="C154" s="38">
        <v>0.81499999999999995</v>
      </c>
      <c r="D154" s="38">
        <v>0.88200000000000001</v>
      </c>
      <c r="E154" s="38">
        <v>1.21</v>
      </c>
    </row>
    <row r="155" spans="1:5">
      <c r="A155" s="55" t="s">
        <v>925</v>
      </c>
      <c r="B155" s="38">
        <v>0.83</v>
      </c>
      <c r="C155" s="38">
        <v>0.80400000000000005</v>
      </c>
      <c r="D155" s="38">
        <v>0.86399999999999999</v>
      </c>
      <c r="E155" s="38">
        <v>1.19</v>
      </c>
    </row>
    <row r="156" spans="1:5">
      <c r="A156" s="55" t="s">
        <v>926</v>
      </c>
      <c r="B156" s="38">
        <v>0.86299999999999999</v>
      </c>
      <c r="C156" s="38">
        <v>0.83499999999999996</v>
      </c>
      <c r="D156" s="38">
        <v>0.89400000000000002</v>
      </c>
      <c r="E156" s="38">
        <v>1.2150000000000001</v>
      </c>
    </row>
    <row r="157" spans="1:5">
      <c r="A157" s="55" t="s">
        <v>927</v>
      </c>
      <c r="B157" s="38">
        <v>0.78200000000000003</v>
      </c>
      <c r="C157" s="38">
        <v>0.746</v>
      </c>
      <c r="D157" s="38">
        <v>0.79600000000000004</v>
      </c>
      <c r="E157" s="38">
        <v>1.091</v>
      </c>
    </row>
    <row r="158" spans="1:5">
      <c r="A158" s="55" t="s">
        <v>928</v>
      </c>
      <c r="B158" s="38">
        <v>0.746</v>
      </c>
      <c r="C158" s="38">
        <v>0.70899999999999996</v>
      </c>
      <c r="D158" s="38">
        <v>0.76</v>
      </c>
      <c r="E158" s="38">
        <v>1.056</v>
      </c>
    </row>
    <row r="159" spans="1:5">
      <c r="A159" s="55" t="s">
        <v>929</v>
      </c>
      <c r="B159" s="38">
        <v>0.749</v>
      </c>
      <c r="C159" s="38">
        <v>0.70299999999999996</v>
      </c>
      <c r="D159" s="38">
        <v>0.748</v>
      </c>
      <c r="E159" s="38">
        <v>1.046</v>
      </c>
    </row>
    <row r="160" spans="1:5">
      <c r="A160" s="55" t="s">
        <v>930</v>
      </c>
      <c r="B160" s="38">
        <v>0.70399999999999996</v>
      </c>
      <c r="C160" s="38">
        <v>0.65300000000000002</v>
      </c>
      <c r="D160" s="38">
        <v>0.68700000000000006</v>
      </c>
      <c r="E160" s="38">
        <v>0.96199999999999997</v>
      </c>
    </row>
    <row r="161" spans="1:5">
      <c r="A161" s="55" t="s">
        <v>931</v>
      </c>
      <c r="B161" s="38">
        <v>0.73299999999999998</v>
      </c>
      <c r="C161" s="38">
        <v>0.68500000000000005</v>
      </c>
      <c r="D161" s="38">
        <v>0.71399999999999997</v>
      </c>
      <c r="E161" s="38">
        <v>0.98299999999999998</v>
      </c>
    </row>
    <row r="162" spans="1:5">
      <c r="A162" s="55" t="s">
        <v>932</v>
      </c>
      <c r="B162" s="38">
        <v>0.71599999999999997</v>
      </c>
      <c r="C162" s="38">
        <v>0.67100000000000004</v>
      </c>
      <c r="D162" s="38">
        <v>0.68799999999999994</v>
      </c>
      <c r="E162" s="38">
        <v>0.96299999999999997</v>
      </c>
    </row>
    <row r="163" spans="1:5">
      <c r="A163" s="55" t="s">
        <v>933</v>
      </c>
      <c r="B163" s="38">
        <v>0.71399999999999997</v>
      </c>
      <c r="C163" s="38">
        <v>0.66900000000000004</v>
      </c>
      <c r="D163" s="38">
        <v>0.68899999999999995</v>
      </c>
      <c r="E163" s="38">
        <v>0.96299999999999997</v>
      </c>
    </row>
    <row r="164" spans="1:5">
      <c r="A164" s="55" t="s">
        <v>934</v>
      </c>
      <c r="B164" s="38">
        <v>0.70699999999999996</v>
      </c>
      <c r="C164" s="38">
        <v>0.66200000000000003</v>
      </c>
      <c r="D164" s="38">
        <v>0.68100000000000005</v>
      </c>
      <c r="E164" s="38">
        <v>0.93799999999999994</v>
      </c>
    </row>
    <row r="165" spans="1:5">
      <c r="A165" s="55" t="s">
        <v>935</v>
      </c>
      <c r="B165" s="38">
        <v>0.71199999999999997</v>
      </c>
      <c r="C165" s="38">
        <v>0.66900000000000004</v>
      </c>
      <c r="D165" s="38">
        <v>0.68899999999999995</v>
      </c>
      <c r="E165" s="38">
        <v>0.94799999999999995</v>
      </c>
    </row>
    <row r="166" spans="1:5">
      <c r="A166" s="55" t="s">
        <v>936</v>
      </c>
      <c r="B166" s="38">
        <v>0.71399999999999997</v>
      </c>
      <c r="C166" s="38">
        <v>0.66300000000000003</v>
      </c>
      <c r="D166" s="38">
        <v>0.67400000000000004</v>
      </c>
      <c r="E166" s="38">
        <v>0.89300000000000002</v>
      </c>
    </row>
    <row r="167" spans="1:5">
      <c r="A167" s="55" t="s">
        <v>937</v>
      </c>
      <c r="B167" s="38">
        <v>0.71899999999999997</v>
      </c>
      <c r="C167" s="38">
        <v>0.66800000000000004</v>
      </c>
      <c r="D167" s="38">
        <v>0.67600000000000005</v>
      </c>
      <c r="E167" s="38">
        <v>0.88800000000000001</v>
      </c>
    </row>
    <row r="168" spans="1:5">
      <c r="A168" s="55" t="s">
        <v>938</v>
      </c>
      <c r="B168" s="38">
        <v>0.72899999999999998</v>
      </c>
      <c r="C168" s="38">
        <v>0.67700000000000005</v>
      </c>
      <c r="D168" s="38">
        <v>0.69</v>
      </c>
      <c r="E168" s="38">
        <v>0.91800000000000004</v>
      </c>
    </row>
    <row r="169" spans="1:5">
      <c r="A169" s="55" t="s">
        <v>939</v>
      </c>
      <c r="B169" s="38">
        <v>0.72799999999999998</v>
      </c>
      <c r="C169" s="38">
        <v>0.68100000000000005</v>
      </c>
      <c r="D169" s="38">
        <v>0.70199999999999996</v>
      </c>
      <c r="E169" s="38">
        <v>0.94699999999999995</v>
      </c>
    </row>
    <row r="170" spans="1:5">
      <c r="A170" s="55" t="s">
        <v>940</v>
      </c>
      <c r="B170" s="38">
        <v>0.72199999999999998</v>
      </c>
      <c r="C170" s="38">
        <v>0.67600000000000005</v>
      </c>
      <c r="D170" s="38">
        <v>0.69699999999999995</v>
      </c>
      <c r="E170" s="38">
        <v>0.93600000000000005</v>
      </c>
    </row>
    <row r="171" spans="1:5">
      <c r="A171" s="55" t="s">
        <v>941</v>
      </c>
      <c r="B171" s="38">
        <v>0.71899999999999997</v>
      </c>
      <c r="C171" s="38">
        <v>0.67300000000000004</v>
      </c>
      <c r="D171" s="38">
        <v>0.69499999999999995</v>
      </c>
      <c r="E171" s="38">
        <v>0.91500000000000004</v>
      </c>
    </row>
    <row r="172" spans="1:5">
      <c r="A172" s="55" t="s">
        <v>942</v>
      </c>
      <c r="B172" s="38">
        <v>0.74299999999999999</v>
      </c>
      <c r="C172" s="38">
        <v>0.70499999999999996</v>
      </c>
      <c r="D172" s="38">
        <v>0.73199999999999998</v>
      </c>
      <c r="E172" s="38">
        <v>0.97899999999999998</v>
      </c>
    </row>
    <row r="173" spans="1:5">
      <c r="A173" s="55" t="s">
        <v>943</v>
      </c>
      <c r="B173" s="38">
        <v>0.69799999999999995</v>
      </c>
      <c r="C173" s="38">
        <v>0.66300000000000003</v>
      </c>
      <c r="D173" s="38">
        <v>0.68200000000000005</v>
      </c>
      <c r="E173" s="38">
        <v>0.89200000000000002</v>
      </c>
    </row>
    <row r="174" spans="1:5">
      <c r="A174" s="55" t="s">
        <v>944</v>
      </c>
      <c r="B174" s="38">
        <v>0.72699999999999998</v>
      </c>
      <c r="C174" s="38">
        <v>0.69</v>
      </c>
      <c r="D174" s="38">
        <v>0.71</v>
      </c>
      <c r="E174" s="38">
        <v>0.91100000000000003</v>
      </c>
    </row>
    <row r="175" spans="1:5">
      <c r="A175" s="55" t="s">
        <v>945</v>
      </c>
      <c r="B175" s="38">
        <v>0.71599999999999997</v>
      </c>
      <c r="C175" s="38">
        <v>0.67700000000000005</v>
      </c>
      <c r="D175" s="38">
        <v>0.69499999999999995</v>
      </c>
      <c r="E175" s="38">
        <v>0.89100000000000001</v>
      </c>
    </row>
    <row r="176" spans="1:5">
      <c r="A176" s="55" t="s">
        <v>946</v>
      </c>
      <c r="B176" s="38">
        <v>0.70799999999999996</v>
      </c>
      <c r="C176" s="38">
        <v>0.66900000000000004</v>
      </c>
      <c r="D176" s="38">
        <v>0.68799999999999994</v>
      </c>
      <c r="E176" s="38">
        <v>0.88200000000000001</v>
      </c>
    </row>
    <row r="177" spans="1:5">
      <c r="A177" s="55" t="s">
        <v>947</v>
      </c>
      <c r="B177" s="38">
        <v>0.70599999999999996</v>
      </c>
      <c r="C177" s="38">
        <v>0.66900000000000004</v>
      </c>
      <c r="D177" s="38">
        <v>0.68899999999999995</v>
      </c>
      <c r="E177" s="38">
        <v>0.88900000000000001</v>
      </c>
    </row>
    <row r="178" spans="1:5">
      <c r="A178" s="55" t="s">
        <v>948</v>
      </c>
      <c r="B178" s="38">
        <v>0.72299999999999998</v>
      </c>
      <c r="C178" s="38">
        <v>0.68899999999999995</v>
      </c>
      <c r="D178" s="38">
        <v>0.71199999999999997</v>
      </c>
      <c r="E178" s="38">
        <v>0.92500000000000004</v>
      </c>
    </row>
    <row r="179" spans="1:5">
      <c r="A179" s="55" t="s">
        <v>949</v>
      </c>
      <c r="B179" s="38">
        <v>0.73199999999999998</v>
      </c>
      <c r="C179" s="38">
        <v>0.69799999999999995</v>
      </c>
      <c r="D179" s="38">
        <v>0.72099999999999997</v>
      </c>
      <c r="E179" s="38">
        <v>0.94399999999999995</v>
      </c>
    </row>
    <row r="180" spans="1:5">
      <c r="A180" s="55" t="s">
        <v>950</v>
      </c>
      <c r="B180" s="38">
        <v>0.754</v>
      </c>
      <c r="C180" s="38">
        <v>0.71799999999999997</v>
      </c>
      <c r="D180" s="38">
        <v>0.73799999999999999</v>
      </c>
      <c r="E180" s="38">
        <v>0.93500000000000005</v>
      </c>
    </row>
    <row r="181" spans="1:5">
      <c r="A181" s="55" t="s">
        <v>951</v>
      </c>
      <c r="B181" s="38">
        <v>0.78500000000000003</v>
      </c>
      <c r="C181" s="38">
        <v>0.745</v>
      </c>
      <c r="D181" s="38">
        <v>0.76800000000000002</v>
      </c>
      <c r="E181" s="38">
        <v>0.97199999999999998</v>
      </c>
    </row>
    <row r="182" spans="1:5">
      <c r="A182" s="55" t="s">
        <v>952</v>
      </c>
      <c r="B182" s="38">
        <v>0.85099999999999998</v>
      </c>
      <c r="C182" s="38">
        <v>0.81699999999999995</v>
      </c>
      <c r="D182" s="38">
        <v>0.84699999999999998</v>
      </c>
      <c r="E182" s="38">
        <v>1.0920000000000001</v>
      </c>
    </row>
    <row r="183" spans="1:5">
      <c r="A183" s="55" t="s">
        <v>953</v>
      </c>
      <c r="B183" s="38">
        <v>0.84099999999999997</v>
      </c>
      <c r="C183" s="38">
        <v>0.80800000000000005</v>
      </c>
      <c r="D183" s="38">
        <v>0.82699999999999996</v>
      </c>
      <c r="E183" s="38">
        <v>1.0329999999999999</v>
      </c>
    </row>
    <row r="184" spans="1:5">
      <c r="A184" s="55" t="s">
        <v>954</v>
      </c>
      <c r="B184" s="38">
        <v>0.86399999999999999</v>
      </c>
      <c r="C184" s="38">
        <v>0.83199999999999996</v>
      </c>
      <c r="D184" s="38">
        <v>0.85499999999999998</v>
      </c>
      <c r="E184" s="38">
        <v>1.077</v>
      </c>
    </row>
    <row r="185" spans="1:5">
      <c r="A185" s="55" t="s">
        <v>955</v>
      </c>
      <c r="B185" s="38">
        <v>0.89600000000000002</v>
      </c>
      <c r="C185" s="38">
        <v>0.86799999999999999</v>
      </c>
      <c r="D185" s="38">
        <v>0.89600000000000002</v>
      </c>
      <c r="E185" s="38">
        <v>1.141</v>
      </c>
    </row>
    <row r="186" spans="1:5">
      <c r="A186" s="55" t="s">
        <v>956</v>
      </c>
      <c r="B186" s="38">
        <v>0.89700000000000002</v>
      </c>
      <c r="C186" s="38">
        <v>0.874</v>
      </c>
      <c r="D186" s="38">
        <v>0.90200000000000002</v>
      </c>
      <c r="E186" s="38">
        <v>1.153</v>
      </c>
    </row>
    <row r="187" spans="1:5">
      <c r="A187" s="55" t="s">
        <v>957</v>
      </c>
      <c r="B187" s="38">
        <v>0.90300000000000002</v>
      </c>
      <c r="C187" s="38">
        <v>0.88600000000000001</v>
      </c>
      <c r="D187" s="38">
        <v>0.92100000000000004</v>
      </c>
      <c r="E187" s="38">
        <v>1.1539999999999999</v>
      </c>
    </row>
    <row r="188" spans="1:5">
      <c r="A188" s="55" t="s">
        <v>958</v>
      </c>
      <c r="B188" s="38">
        <v>0.92300000000000004</v>
      </c>
      <c r="C188" s="38">
        <v>0.90900000000000003</v>
      </c>
      <c r="D188" s="38">
        <v>0.94699999999999995</v>
      </c>
      <c r="E188" s="38">
        <v>1.1879999999999999</v>
      </c>
    </row>
    <row r="189" spans="1:5">
      <c r="A189" s="55" t="s">
        <v>959</v>
      </c>
      <c r="B189" s="38">
        <v>0.86899999999999999</v>
      </c>
      <c r="C189" s="38">
        <v>0.85099999999999998</v>
      </c>
      <c r="D189" s="38">
        <v>0.88700000000000001</v>
      </c>
      <c r="E189" s="38">
        <v>1.129</v>
      </c>
    </row>
    <row r="190" spans="1:5">
      <c r="A190" s="55" t="s">
        <v>960</v>
      </c>
      <c r="B190" s="38">
        <v>0.872</v>
      </c>
      <c r="C190" s="38">
        <v>0.85099999999999998</v>
      </c>
      <c r="D190" s="38">
        <v>0.88700000000000001</v>
      </c>
      <c r="E190" s="38">
        <v>1.135</v>
      </c>
    </row>
    <row r="191" spans="1:5">
      <c r="A191" s="55" t="s">
        <v>961</v>
      </c>
      <c r="B191" s="38">
        <v>0.79</v>
      </c>
      <c r="C191" s="38">
        <v>0.77100000000000002</v>
      </c>
      <c r="D191" s="38">
        <v>0.81200000000000006</v>
      </c>
      <c r="E191" s="38">
        <v>1.056</v>
      </c>
    </row>
    <row r="192" spans="1:5">
      <c r="A192" s="55" t="s">
        <v>962</v>
      </c>
      <c r="B192" s="38">
        <v>0.75700000000000001</v>
      </c>
      <c r="C192" s="38">
        <v>0.73699999999999999</v>
      </c>
      <c r="D192" s="38">
        <v>0.77700000000000002</v>
      </c>
      <c r="E192" s="38">
        <v>1.016</v>
      </c>
    </row>
    <row r="193" spans="1:5">
      <c r="A193" s="55" t="s">
        <v>963</v>
      </c>
      <c r="B193" s="38">
        <v>0.753</v>
      </c>
      <c r="C193" s="38">
        <v>0.73199999999999998</v>
      </c>
      <c r="D193" s="38">
        <v>0.77</v>
      </c>
      <c r="E193" s="38">
        <v>0.997</v>
      </c>
    </row>
    <row r="194" spans="1:5">
      <c r="A194" s="55" t="s">
        <v>964</v>
      </c>
      <c r="B194" s="38">
        <v>0.73899999999999999</v>
      </c>
      <c r="C194" s="38">
        <v>0.71799999999999997</v>
      </c>
      <c r="D194" s="38">
        <v>0.752</v>
      </c>
      <c r="E194" s="38">
        <v>0.95699999999999996</v>
      </c>
    </row>
    <row r="195" spans="1:5">
      <c r="A195" s="55" t="s">
        <v>965</v>
      </c>
      <c r="B195" s="38">
        <v>0.73099999999999998</v>
      </c>
      <c r="C195" s="38">
        <v>0.70499999999999996</v>
      </c>
      <c r="D195" s="38">
        <v>0.73699999999999999</v>
      </c>
      <c r="E195" s="38">
        <v>0.93799999999999994</v>
      </c>
    </row>
    <row r="196" spans="1:5">
      <c r="A196" s="55" t="s">
        <v>966</v>
      </c>
      <c r="B196" s="38">
        <v>0.72499999999999998</v>
      </c>
      <c r="C196" s="38">
        <v>0.69799999999999995</v>
      </c>
      <c r="D196" s="38">
        <v>0.73599999999999999</v>
      </c>
      <c r="E196" s="38">
        <v>0.94699999999999995</v>
      </c>
    </row>
    <row r="197" spans="1:5">
      <c r="A197" s="55" t="s">
        <v>967</v>
      </c>
      <c r="B197" s="38">
        <v>0.72499999999999998</v>
      </c>
      <c r="C197" s="38">
        <v>0.69799999999999995</v>
      </c>
      <c r="D197" s="38">
        <v>0.73599999999999999</v>
      </c>
      <c r="E197" s="38">
        <v>0.94199999999999995</v>
      </c>
    </row>
    <row r="198" spans="1:5">
      <c r="A198" s="55" t="s">
        <v>968</v>
      </c>
      <c r="B198" s="38">
        <v>0.75700000000000001</v>
      </c>
      <c r="C198" s="38">
        <v>0.73199999999999998</v>
      </c>
      <c r="D198" s="38">
        <v>0.77400000000000002</v>
      </c>
      <c r="E198" s="38">
        <v>1.012</v>
      </c>
    </row>
    <row r="199" spans="1:5">
      <c r="A199" s="55" t="s">
        <v>969</v>
      </c>
      <c r="B199" s="38">
        <v>0.68</v>
      </c>
      <c r="C199" s="38">
        <v>0.65600000000000003</v>
      </c>
      <c r="D199" s="38">
        <v>0.70599999999999996</v>
      </c>
      <c r="E199" s="38">
        <v>0.96899999999999997</v>
      </c>
    </row>
    <row r="200" spans="1:5">
      <c r="A200" s="55" t="s">
        <v>970</v>
      </c>
      <c r="B200" s="38">
        <v>0.64900000000000002</v>
      </c>
      <c r="C200" s="38">
        <v>0.626</v>
      </c>
      <c r="D200" s="38">
        <v>0.68</v>
      </c>
      <c r="E200" s="38">
        <v>0.95899999999999996</v>
      </c>
    </row>
    <row r="201" spans="1:5">
      <c r="A201" s="55" t="s">
        <v>971</v>
      </c>
      <c r="B201" s="38">
        <v>0.63</v>
      </c>
      <c r="C201" s="38">
        <v>0.60699999999999998</v>
      </c>
      <c r="D201" s="38">
        <v>0.65800000000000003</v>
      </c>
      <c r="E201" s="38">
        <v>0.91500000000000004</v>
      </c>
    </row>
    <row r="202" spans="1:5">
      <c r="A202" s="55" t="s">
        <v>972</v>
      </c>
      <c r="B202" s="38">
        <v>0.61799999999999999</v>
      </c>
      <c r="C202" s="38">
        <v>0.59299999999999997</v>
      </c>
      <c r="D202" s="38">
        <v>0.64300000000000002</v>
      </c>
      <c r="E202" s="38">
        <v>0.88600000000000001</v>
      </c>
    </row>
    <row r="203" spans="1:5">
      <c r="A203" s="55" t="s">
        <v>973</v>
      </c>
      <c r="B203" s="38">
        <v>0.624</v>
      </c>
      <c r="C203" s="38">
        <v>0.59799999999999998</v>
      </c>
      <c r="D203" s="38">
        <v>0.64800000000000002</v>
      </c>
      <c r="E203" s="38">
        <v>0.89200000000000002</v>
      </c>
    </row>
    <row r="204" spans="1:5">
      <c r="A204" s="55" t="s">
        <v>974</v>
      </c>
      <c r="B204" s="38">
        <v>0.622</v>
      </c>
      <c r="C204" s="38">
        <v>0.59199999999999997</v>
      </c>
      <c r="D204" s="38">
        <v>0.64</v>
      </c>
      <c r="E204" s="38">
        <v>0.878</v>
      </c>
    </row>
    <row r="205" spans="1:5">
      <c r="A205" s="55" t="s">
        <v>975</v>
      </c>
      <c r="B205" s="38">
        <v>0.61799999999999999</v>
      </c>
      <c r="C205" s="38">
        <v>0.59</v>
      </c>
      <c r="D205" s="38">
        <v>0.63900000000000001</v>
      </c>
      <c r="E205" s="38">
        <v>0.89100000000000001</v>
      </c>
    </row>
    <row r="206" spans="1:5">
      <c r="A206" s="55" t="s">
        <v>976</v>
      </c>
      <c r="B206" s="38">
        <v>0.68799999999999994</v>
      </c>
      <c r="C206" s="38">
        <v>0.67400000000000004</v>
      </c>
      <c r="D206" s="38">
        <v>0.73499999999999999</v>
      </c>
      <c r="E206" s="38">
        <v>1.0129999999999999</v>
      </c>
    </row>
    <row r="207" spans="1:5">
      <c r="A207" s="55" t="s">
        <v>977</v>
      </c>
      <c r="B207" s="38">
        <v>0.70699999999999996</v>
      </c>
      <c r="C207" s="38">
        <v>0.69599999999999995</v>
      </c>
      <c r="D207" s="38">
        <v>0.76300000000000001</v>
      </c>
      <c r="E207" s="38">
        <v>1.042</v>
      </c>
    </row>
    <row r="208" spans="1:5">
      <c r="A208" s="55" t="s">
        <v>978</v>
      </c>
      <c r="B208" s="38">
        <v>0.69199999999999995</v>
      </c>
      <c r="C208" s="38">
        <v>0.68</v>
      </c>
      <c r="D208" s="38">
        <v>0.745</v>
      </c>
      <c r="E208" s="38">
        <v>1.0129999999999999</v>
      </c>
    </row>
    <row r="209" spans="1:5">
      <c r="A209" s="55" t="s">
        <v>979</v>
      </c>
      <c r="B209" s="38">
        <v>0.71099999999999997</v>
      </c>
      <c r="C209" s="38">
        <v>0.7</v>
      </c>
      <c r="D209" s="38">
        <v>0.76900000000000002</v>
      </c>
      <c r="E209" s="38">
        <v>1.046</v>
      </c>
    </row>
    <row r="210" spans="1:5">
      <c r="A210" s="55" t="s">
        <v>980</v>
      </c>
      <c r="B210" s="38">
        <v>0.75600000000000001</v>
      </c>
      <c r="C210" s="38">
        <v>0.745</v>
      </c>
      <c r="D210" s="38">
        <v>0.81299999999999994</v>
      </c>
      <c r="E210" s="38">
        <v>1.1000000000000001</v>
      </c>
    </row>
    <row r="211" spans="1:5">
      <c r="A211" s="55" t="s">
        <v>981</v>
      </c>
      <c r="B211" s="38">
        <v>0.76700000000000002</v>
      </c>
      <c r="C211" s="38">
        <v>0.75800000000000001</v>
      </c>
      <c r="D211" s="38">
        <v>0.82799999999999996</v>
      </c>
      <c r="E211" s="38">
        <v>1.101</v>
      </c>
    </row>
    <row r="212" spans="1:5">
      <c r="A212" s="55" t="s">
        <v>982</v>
      </c>
      <c r="B212" s="38">
        <v>0.78600000000000003</v>
      </c>
      <c r="C212" s="38">
        <v>0.78200000000000003</v>
      </c>
      <c r="D212" s="38">
        <v>0.85499999999999998</v>
      </c>
      <c r="E212" s="38">
        <v>1.145</v>
      </c>
    </row>
    <row r="213" spans="1:5">
      <c r="A213" s="55" t="s">
        <v>983</v>
      </c>
      <c r="B213" s="38">
        <v>0.79</v>
      </c>
      <c r="C213" s="38">
        <v>0.78300000000000003</v>
      </c>
      <c r="D213" s="38">
        <v>0.86499999999999999</v>
      </c>
      <c r="E213" s="38">
        <v>1.1659999999999999</v>
      </c>
    </row>
    <row r="214" spans="1:5">
      <c r="A214" s="55" t="s">
        <v>984</v>
      </c>
      <c r="B214" s="38">
        <v>0.75700000000000001</v>
      </c>
      <c r="C214" s="38">
        <v>0.745</v>
      </c>
      <c r="D214" s="38">
        <v>0.82199999999999995</v>
      </c>
      <c r="E214" s="38">
        <v>1.1020000000000001</v>
      </c>
    </row>
    <row r="215" spans="1:5">
      <c r="A215" s="55" t="s">
        <v>985</v>
      </c>
      <c r="B215" s="38">
        <v>0.74399999999999999</v>
      </c>
      <c r="C215" s="38">
        <v>0.72599999999999998</v>
      </c>
      <c r="D215" s="38">
        <v>0.80400000000000005</v>
      </c>
      <c r="E215" s="38">
        <v>1.0820000000000001</v>
      </c>
    </row>
    <row r="216" spans="1:5">
      <c r="A216" s="55" t="s">
        <v>986</v>
      </c>
      <c r="B216" s="38">
        <v>0.73199999999999998</v>
      </c>
      <c r="C216" s="38">
        <v>0.71299999999999997</v>
      </c>
      <c r="D216" s="38">
        <v>0.78700000000000003</v>
      </c>
      <c r="E216" s="38">
        <v>1.0569999999999999</v>
      </c>
    </row>
    <row r="217" spans="1:5">
      <c r="A217" s="55" t="s">
        <v>987</v>
      </c>
      <c r="B217" s="38">
        <v>0.754</v>
      </c>
      <c r="C217" s="38">
        <v>0.73699999999999999</v>
      </c>
      <c r="D217" s="38">
        <v>0.81399999999999995</v>
      </c>
      <c r="E217" s="38">
        <v>1.0920000000000001</v>
      </c>
    </row>
    <row r="218" spans="1:5">
      <c r="A218" s="55" t="s">
        <v>988</v>
      </c>
      <c r="B218" s="38">
        <v>0.82299999999999995</v>
      </c>
      <c r="C218" s="38">
        <v>0.81299999999999994</v>
      </c>
      <c r="D218" s="38">
        <v>0.89500000000000002</v>
      </c>
      <c r="E218" s="38">
        <v>1.181</v>
      </c>
    </row>
    <row r="219" spans="1:5">
      <c r="A219" s="55" t="s">
        <v>989</v>
      </c>
      <c r="B219" s="38">
        <v>0.79700000000000004</v>
      </c>
      <c r="C219" s="38">
        <v>0.78100000000000003</v>
      </c>
      <c r="D219" s="38">
        <v>0.85899999999999999</v>
      </c>
      <c r="E219" s="38">
        <v>1.1359999999999999</v>
      </c>
    </row>
    <row r="220" spans="1:5">
      <c r="A220" s="55" t="s">
        <v>990</v>
      </c>
      <c r="B220" s="38">
        <v>0.82399999999999995</v>
      </c>
      <c r="C220" s="38">
        <v>0.80600000000000005</v>
      </c>
      <c r="D220" s="38">
        <v>0.88100000000000001</v>
      </c>
      <c r="E220" s="38">
        <v>1.1359999999999999</v>
      </c>
    </row>
    <row r="221" spans="1:5">
      <c r="A221" s="55" t="s">
        <v>991</v>
      </c>
      <c r="B221" s="38">
        <v>0.80500000000000005</v>
      </c>
      <c r="C221" s="38">
        <v>0.78100000000000003</v>
      </c>
      <c r="D221" s="38">
        <v>0.85299999999999998</v>
      </c>
      <c r="E221" s="38">
        <v>1.0960000000000001</v>
      </c>
    </row>
    <row r="222" spans="1:5">
      <c r="A222" s="55" t="s">
        <v>992</v>
      </c>
      <c r="B222" s="38">
        <v>0.84599999999999997</v>
      </c>
      <c r="C222" s="38">
        <v>0.82399999999999995</v>
      </c>
      <c r="D222" s="38">
        <v>0.90300000000000002</v>
      </c>
      <c r="E222" s="38">
        <v>1.1759999999999999</v>
      </c>
    </row>
    <row r="223" spans="1:5">
      <c r="A223" s="55" t="s">
        <v>993</v>
      </c>
      <c r="B223" s="38">
        <v>0.873</v>
      </c>
      <c r="C223" s="38">
        <v>0.85399999999999998</v>
      </c>
      <c r="D223" s="38">
        <v>0.93500000000000005</v>
      </c>
      <c r="E223" s="38">
        <v>1.2</v>
      </c>
    </row>
    <row r="224" spans="1:5">
      <c r="A224" s="55" t="s">
        <v>994</v>
      </c>
      <c r="B224" s="38">
        <v>0.89500000000000002</v>
      </c>
      <c r="C224" s="38">
        <v>0.88</v>
      </c>
      <c r="D224" s="38">
        <v>0.97199999999999998</v>
      </c>
      <c r="E224" s="38">
        <v>1.27</v>
      </c>
    </row>
    <row r="225" spans="1:5">
      <c r="A225" s="55" t="s">
        <v>995</v>
      </c>
      <c r="B225" s="38">
        <v>0.85799999999999998</v>
      </c>
      <c r="C225" s="38">
        <v>0.84499999999999997</v>
      </c>
      <c r="D225" s="38">
        <v>0.93300000000000005</v>
      </c>
      <c r="E225" s="38">
        <v>1.2110000000000001</v>
      </c>
    </row>
    <row r="226" spans="1:5">
      <c r="A226" s="55" t="s">
        <v>996</v>
      </c>
      <c r="B226" s="38">
        <v>0.88700000000000001</v>
      </c>
      <c r="C226" s="38">
        <v>0.878</v>
      </c>
      <c r="D226" s="38">
        <v>0.98</v>
      </c>
      <c r="E226" s="38">
        <v>1.2909999999999999</v>
      </c>
    </row>
    <row r="227" spans="1:5">
      <c r="A227" s="55" t="s">
        <v>997</v>
      </c>
      <c r="B227" s="38">
        <v>0.872</v>
      </c>
      <c r="C227" s="38">
        <v>0.86399999999999999</v>
      </c>
      <c r="D227" s="38">
        <v>0.96899999999999997</v>
      </c>
      <c r="E227" s="38">
        <v>1.296</v>
      </c>
    </row>
    <row r="228" spans="1:5">
      <c r="A228" s="55" t="s">
        <v>998</v>
      </c>
      <c r="B228" s="38">
        <v>0.85199999999999998</v>
      </c>
      <c r="C228" s="38">
        <v>0.84299999999999997</v>
      </c>
      <c r="D228" s="38">
        <v>0.94899999999999995</v>
      </c>
      <c r="E228" s="38">
        <v>1.282</v>
      </c>
    </row>
    <row r="229" spans="1:5">
      <c r="A229" s="55" t="s">
        <v>999</v>
      </c>
      <c r="B229" s="38">
        <v>0.83699999999999997</v>
      </c>
      <c r="C229" s="38">
        <v>0.82099999999999995</v>
      </c>
      <c r="D229" s="38">
        <v>0.93</v>
      </c>
      <c r="E229" s="38">
        <v>1.272</v>
      </c>
    </row>
    <row r="230" spans="1:5">
      <c r="A230" s="55" t="s">
        <v>1000</v>
      </c>
      <c r="B230" s="38">
        <v>0.76600000000000001</v>
      </c>
      <c r="C230" s="38">
        <v>0.74299999999999999</v>
      </c>
      <c r="D230" s="38">
        <v>0.84899999999999998</v>
      </c>
      <c r="E230" s="38">
        <v>1.177</v>
      </c>
    </row>
    <row r="231" spans="1:5">
      <c r="A231" s="55" t="s">
        <v>1001</v>
      </c>
      <c r="B231" s="38">
        <v>0.77800000000000002</v>
      </c>
      <c r="C231" s="38">
        <v>0.752</v>
      </c>
      <c r="D231" s="38">
        <v>0.85199999999999998</v>
      </c>
      <c r="E231" s="38">
        <v>1.161</v>
      </c>
    </row>
    <row r="232" spans="1:5">
      <c r="A232" s="55" t="s">
        <v>1002</v>
      </c>
      <c r="B232" s="38">
        <v>0.77800000000000002</v>
      </c>
      <c r="C232" s="38">
        <v>0.75</v>
      </c>
      <c r="D232" s="38">
        <v>0.85399999999999998</v>
      </c>
      <c r="E232" s="38">
        <v>1.167</v>
      </c>
    </row>
    <row r="233" spans="1:5">
      <c r="A233" s="55" t="s">
        <v>1003</v>
      </c>
      <c r="B233" s="38">
        <v>0.751</v>
      </c>
      <c r="C233" s="38">
        <v>0.72099999999999997</v>
      </c>
      <c r="D233" s="38">
        <v>0.82199999999999995</v>
      </c>
      <c r="E233" s="38">
        <v>1.127</v>
      </c>
    </row>
    <row r="234" spans="1:5">
      <c r="A234" s="55" t="s">
        <v>1004</v>
      </c>
      <c r="B234" s="38">
        <v>0.746</v>
      </c>
      <c r="C234" s="38">
        <v>0.70899999999999996</v>
      </c>
      <c r="D234" s="38">
        <v>0.79700000000000004</v>
      </c>
      <c r="E234" s="38">
        <v>1.0720000000000001</v>
      </c>
    </row>
    <row r="235" spans="1:5">
      <c r="A235" s="55" t="s">
        <v>1005</v>
      </c>
      <c r="B235" s="38">
        <v>0.754</v>
      </c>
      <c r="C235" s="38">
        <v>0.71799999999999997</v>
      </c>
      <c r="D235" s="38">
        <v>0.80200000000000005</v>
      </c>
      <c r="E235" s="38">
        <v>1.0720000000000001</v>
      </c>
    </row>
    <row r="236" spans="1:5">
      <c r="A236" s="55" t="s">
        <v>1006</v>
      </c>
      <c r="B236" s="38">
        <v>0.76100000000000001</v>
      </c>
      <c r="C236" s="38">
        <v>0.73199999999999998</v>
      </c>
      <c r="D236" s="38">
        <v>0.81899999999999995</v>
      </c>
      <c r="E236" s="38">
        <v>1.097</v>
      </c>
    </row>
    <row r="237" spans="1:5">
      <c r="A237" s="55" t="s">
        <v>1007</v>
      </c>
      <c r="B237" s="38">
        <v>0.76400000000000001</v>
      </c>
      <c r="C237" s="38">
        <v>0.73299999999999998</v>
      </c>
      <c r="D237" s="38">
        <v>0.81699999999999995</v>
      </c>
      <c r="E237" s="38">
        <v>1.0920000000000001</v>
      </c>
    </row>
    <row r="238" spans="1:5">
      <c r="A238" s="55" t="s">
        <v>1008</v>
      </c>
      <c r="B238" s="38">
        <v>0.76400000000000001</v>
      </c>
      <c r="C238" s="38">
        <v>0.72899999999999998</v>
      </c>
      <c r="D238" s="38">
        <v>0.81</v>
      </c>
      <c r="E238" s="38">
        <v>1.077</v>
      </c>
    </row>
    <row r="239" spans="1:5">
      <c r="A239" s="55" t="s">
        <v>1009</v>
      </c>
      <c r="B239" s="38">
        <v>0.68300000000000005</v>
      </c>
      <c r="C239" s="38">
        <v>0.64500000000000002</v>
      </c>
      <c r="D239" s="38">
        <v>0.73</v>
      </c>
      <c r="E239" s="38">
        <v>1.018</v>
      </c>
    </row>
    <row r="240" spans="1:5">
      <c r="A240" s="55" t="s">
        <v>1010</v>
      </c>
      <c r="B240" s="38">
        <v>0.65500000000000003</v>
      </c>
      <c r="C240" s="38">
        <v>0.62</v>
      </c>
      <c r="D240" s="38">
        <v>0.70699999999999996</v>
      </c>
      <c r="E240" s="38">
        <v>0.999</v>
      </c>
    </row>
    <row r="241" spans="1:5">
      <c r="A241" s="55" t="s">
        <v>1011</v>
      </c>
      <c r="B241" s="38">
        <v>0.67900000000000005</v>
      </c>
      <c r="C241" s="38">
        <v>0.64500000000000002</v>
      </c>
      <c r="D241" s="38">
        <v>0.73499999999999999</v>
      </c>
      <c r="E241" s="38">
        <v>1.034</v>
      </c>
    </row>
    <row r="242" spans="1:5">
      <c r="A242" s="55" t="s">
        <v>1012</v>
      </c>
      <c r="B242" s="38">
        <v>0.71099999999999997</v>
      </c>
      <c r="C242" s="38">
        <v>0.68500000000000005</v>
      </c>
      <c r="D242" s="38">
        <v>0.77900000000000003</v>
      </c>
      <c r="E242" s="38">
        <v>1.0940000000000001</v>
      </c>
    </row>
    <row r="243" spans="1:5">
      <c r="A243" s="55" t="s">
        <v>1013</v>
      </c>
      <c r="B243" s="38">
        <v>0.78600000000000003</v>
      </c>
      <c r="C243" s="38">
        <v>0.76300000000000001</v>
      </c>
      <c r="D243" s="38">
        <v>0.86099999999999999</v>
      </c>
      <c r="E243" s="38">
        <v>1.1950000000000001</v>
      </c>
    </row>
    <row r="244" spans="1:5">
      <c r="A244" s="55" t="s">
        <v>1014</v>
      </c>
      <c r="B244" s="38">
        <v>0.70799999999999996</v>
      </c>
      <c r="C244" s="38">
        <v>0.67400000000000004</v>
      </c>
      <c r="D244" s="38">
        <v>0.76100000000000001</v>
      </c>
      <c r="E244" s="38">
        <v>1.0629999999999999</v>
      </c>
    </row>
    <row r="245" spans="1:5">
      <c r="A245" s="55" t="s">
        <v>1015</v>
      </c>
      <c r="B245" s="38">
        <v>0.71299999999999997</v>
      </c>
      <c r="C245" s="38">
        <v>0.67900000000000005</v>
      </c>
      <c r="D245" s="38">
        <v>0.77100000000000002</v>
      </c>
      <c r="E245" s="38">
        <v>1.0920000000000001</v>
      </c>
    </row>
    <row r="246" spans="1:5">
      <c r="A246" s="55" t="s">
        <v>1016</v>
      </c>
      <c r="B246" s="38">
        <v>0.73099999999999998</v>
      </c>
      <c r="C246" s="38">
        <v>0.69699999999999995</v>
      </c>
      <c r="D246" s="38">
        <v>0.79400000000000004</v>
      </c>
      <c r="E246" s="38">
        <v>1.127</v>
      </c>
    </row>
    <row r="247" spans="1:5">
      <c r="A247" s="55" t="s">
        <v>1017</v>
      </c>
      <c r="B247" s="38">
        <v>0.746</v>
      </c>
      <c r="C247" s="38">
        <v>0.70899999999999996</v>
      </c>
      <c r="D247" s="38">
        <v>0.81</v>
      </c>
      <c r="E247" s="38">
        <v>1.151</v>
      </c>
    </row>
    <row r="248" spans="1:5">
      <c r="A248" s="55" t="s">
        <v>1018</v>
      </c>
      <c r="B248" s="38">
        <v>0.72499999999999998</v>
      </c>
      <c r="C248" s="38">
        <v>0.67900000000000005</v>
      </c>
      <c r="D248" s="38">
        <v>0.78200000000000003</v>
      </c>
      <c r="E248" s="38">
        <v>1.107</v>
      </c>
    </row>
    <row r="249" spans="1:5">
      <c r="A249" s="55" t="s">
        <v>1019</v>
      </c>
      <c r="B249" s="38">
        <v>0.75900000000000001</v>
      </c>
      <c r="C249" s="38">
        <v>0.70599999999999996</v>
      </c>
      <c r="D249" s="38">
        <v>0.81</v>
      </c>
      <c r="E249" s="38">
        <v>1.1559999999999999</v>
      </c>
    </row>
    <row r="250" spans="1:5">
      <c r="A250" s="55" t="s">
        <v>1020</v>
      </c>
      <c r="B250" s="38">
        <v>0.745</v>
      </c>
      <c r="C250" s="38">
        <v>0.69399999999999995</v>
      </c>
      <c r="D250" s="38">
        <v>0.79700000000000004</v>
      </c>
      <c r="E250" s="38">
        <v>1.1319999999999999</v>
      </c>
    </row>
    <row r="251" spans="1:5">
      <c r="A251" s="55" t="s">
        <v>1021</v>
      </c>
      <c r="B251" s="38">
        <v>0.81799999999999995</v>
      </c>
      <c r="C251" s="38">
        <v>0.79</v>
      </c>
      <c r="D251" s="38">
        <v>0.9</v>
      </c>
      <c r="E251" s="38">
        <v>1.258</v>
      </c>
    </row>
    <row r="252" spans="1:5">
      <c r="A252" s="55" t="s">
        <v>1022</v>
      </c>
      <c r="B252" s="38">
        <v>0.77</v>
      </c>
      <c r="C252" s="38">
        <v>0.73799999999999999</v>
      </c>
      <c r="D252" s="38">
        <v>0.84199999999999997</v>
      </c>
      <c r="E252" s="38">
        <v>1.1579999999999999</v>
      </c>
    </row>
    <row r="253" spans="1:5">
      <c r="A253" s="55" t="s">
        <v>1023</v>
      </c>
      <c r="B253" s="38">
        <v>0.746</v>
      </c>
      <c r="C253" s="38">
        <v>0.71</v>
      </c>
      <c r="D253" s="38">
        <v>0.82199999999999995</v>
      </c>
      <c r="E253" s="38">
        <v>1.1579999999999999</v>
      </c>
    </row>
    <row r="254" spans="1:5">
      <c r="A254" s="55" t="s">
        <v>1024</v>
      </c>
      <c r="B254" s="38">
        <v>0.78</v>
      </c>
      <c r="C254" s="38">
        <v>0.74299999999999999</v>
      </c>
      <c r="D254" s="38">
        <v>0.85699999999999998</v>
      </c>
      <c r="E254" s="38">
        <v>1.208</v>
      </c>
    </row>
    <row r="255" spans="1:5">
      <c r="A255" s="55" t="s">
        <v>1025</v>
      </c>
      <c r="B255" s="38">
        <v>0.84</v>
      </c>
      <c r="C255" s="38">
        <v>0.80800000000000005</v>
      </c>
      <c r="D255" s="38">
        <v>0.92700000000000005</v>
      </c>
      <c r="E255" s="38">
        <v>1.2689999999999999</v>
      </c>
    </row>
    <row r="256" spans="1:5">
      <c r="A256" s="55" t="s">
        <v>1026</v>
      </c>
      <c r="B256" s="38">
        <v>0.876</v>
      </c>
      <c r="C256" s="38">
        <v>0.84599999999999997</v>
      </c>
      <c r="D256" s="38">
        <v>0.96499999999999997</v>
      </c>
      <c r="E256" s="38">
        <v>1.2889999999999999</v>
      </c>
    </row>
    <row r="257" spans="1:5">
      <c r="A257" s="55" t="s">
        <v>1027</v>
      </c>
      <c r="B257" s="38">
        <v>0.88800000000000001</v>
      </c>
      <c r="C257" s="38">
        <v>0.86099999999999999</v>
      </c>
      <c r="D257" s="38">
        <v>0.98099999999999998</v>
      </c>
      <c r="E257" s="38">
        <v>1.2989999999999999</v>
      </c>
    </row>
    <row r="258" spans="1:5">
      <c r="A258" s="55" t="s">
        <v>1028</v>
      </c>
      <c r="B258" s="38">
        <v>0.90300000000000002</v>
      </c>
      <c r="C258" s="38">
        <v>0.876</v>
      </c>
      <c r="D258" s="38">
        <v>0.99299999999999999</v>
      </c>
      <c r="E258" s="38">
        <v>1.31</v>
      </c>
    </row>
    <row r="259" spans="1:5">
      <c r="A259" s="55" t="s">
        <v>1029</v>
      </c>
      <c r="B259" s="38">
        <v>0.91</v>
      </c>
      <c r="C259" s="38">
        <v>0.88800000000000001</v>
      </c>
      <c r="D259" s="38">
        <v>1.0029999999999999</v>
      </c>
      <c r="E259" s="38">
        <v>1.3089999999999999</v>
      </c>
    </row>
    <row r="260" spans="1:5">
      <c r="A260" s="55" t="s">
        <v>1030</v>
      </c>
      <c r="B260" s="38">
        <v>0.9</v>
      </c>
      <c r="C260" s="38">
        <v>0.878</v>
      </c>
      <c r="D260" s="38">
        <v>0.99399999999999999</v>
      </c>
      <c r="E260" s="38">
        <v>1.3089999999999999</v>
      </c>
    </row>
    <row r="261" spans="1:5">
      <c r="A261" s="55" t="s">
        <v>1031</v>
      </c>
      <c r="B261" s="38">
        <v>0.92200000000000004</v>
      </c>
      <c r="C261" s="38">
        <v>0.91200000000000003</v>
      </c>
      <c r="D261" s="38">
        <v>1.026</v>
      </c>
      <c r="E261" s="38">
        <v>1.357</v>
      </c>
    </row>
    <row r="262" spans="1:5">
      <c r="A262" s="55" t="s">
        <v>1032</v>
      </c>
      <c r="B262" s="38">
        <v>0.876</v>
      </c>
      <c r="C262" s="38">
        <v>0.873</v>
      </c>
      <c r="D262" s="38">
        <v>1</v>
      </c>
      <c r="E262" s="38">
        <v>1.345</v>
      </c>
    </row>
    <row r="263" spans="1:5">
      <c r="A263" s="55" t="s">
        <v>1033</v>
      </c>
      <c r="B263" s="38">
        <v>0.82199999999999995</v>
      </c>
      <c r="C263" s="38">
        <v>0.81</v>
      </c>
      <c r="D263" s="38">
        <v>0.93100000000000005</v>
      </c>
      <c r="E263" s="38">
        <v>1.2549999999999999</v>
      </c>
    </row>
    <row r="264" spans="1:5">
      <c r="A264" s="55" t="s">
        <v>1034</v>
      </c>
      <c r="B264" s="38">
        <v>0.79400000000000004</v>
      </c>
      <c r="C264" s="38">
        <v>0.77700000000000002</v>
      </c>
      <c r="D264" s="38">
        <v>0.89200000000000002</v>
      </c>
      <c r="E264" s="38">
        <v>1.206</v>
      </c>
    </row>
    <row r="265" spans="1:5">
      <c r="A265" s="55" t="s">
        <v>1035</v>
      </c>
      <c r="B265" s="38">
        <v>0.79200000000000004</v>
      </c>
      <c r="C265" s="38">
        <v>0.77600000000000002</v>
      </c>
      <c r="D265" s="38">
        <v>0.89300000000000002</v>
      </c>
      <c r="E265" s="38">
        <v>1.2210000000000001</v>
      </c>
    </row>
    <row r="266" spans="1:5">
      <c r="A266" s="55" t="s">
        <v>1036</v>
      </c>
      <c r="B266" s="38">
        <v>0.77200000000000002</v>
      </c>
      <c r="C266" s="38">
        <v>0.755</v>
      </c>
      <c r="D266" s="38">
        <v>0.86699999999999999</v>
      </c>
      <c r="E266" s="38">
        <v>1.1879999999999999</v>
      </c>
    </row>
    <row r="267" spans="1:5">
      <c r="A267" s="55" t="s">
        <v>1037</v>
      </c>
      <c r="B267" s="38">
        <v>0.80200000000000005</v>
      </c>
      <c r="C267" s="38">
        <v>0.78700000000000003</v>
      </c>
      <c r="D267" s="38">
        <v>0.90500000000000003</v>
      </c>
      <c r="E267" s="38">
        <v>1.2410000000000001</v>
      </c>
    </row>
    <row r="268" spans="1:5">
      <c r="A268" s="55" t="s">
        <v>1038</v>
      </c>
      <c r="B268" s="38">
        <v>0.81299999999999994</v>
      </c>
      <c r="C268" s="38">
        <v>0.79600000000000004</v>
      </c>
      <c r="D268" s="38">
        <v>0.91400000000000003</v>
      </c>
      <c r="E268" s="38">
        <v>1.2569999999999999</v>
      </c>
    </row>
    <row r="269" spans="1:5">
      <c r="A269" s="55" t="s">
        <v>1039</v>
      </c>
      <c r="B269" s="38">
        <v>0.8</v>
      </c>
      <c r="C269" s="38">
        <v>0.78200000000000003</v>
      </c>
      <c r="D269" s="38">
        <v>0.89400000000000002</v>
      </c>
      <c r="E269" s="38">
        <v>1.214</v>
      </c>
    </row>
    <row r="270" spans="1:5">
      <c r="A270" s="55" t="s">
        <v>1040</v>
      </c>
      <c r="B270" s="38">
        <v>0.81799999999999995</v>
      </c>
      <c r="C270" s="38">
        <v>0.80400000000000005</v>
      </c>
      <c r="D270" s="38">
        <v>0.92500000000000004</v>
      </c>
      <c r="E270" s="38">
        <v>1.2609999999999999</v>
      </c>
    </row>
    <row r="271" spans="1:5">
      <c r="A271" s="55" t="s">
        <v>1041</v>
      </c>
      <c r="B271" s="38">
        <v>0.80400000000000005</v>
      </c>
      <c r="C271" s="38">
        <v>0.78800000000000003</v>
      </c>
      <c r="D271" s="38">
        <v>0.90200000000000002</v>
      </c>
      <c r="E271" s="38">
        <v>1.2170000000000001</v>
      </c>
    </row>
    <row r="272" spans="1:5">
      <c r="A272" s="55" t="s">
        <v>1042</v>
      </c>
      <c r="B272" s="38">
        <v>0.78</v>
      </c>
      <c r="C272" s="38">
        <v>0.76200000000000001</v>
      </c>
      <c r="D272" s="38">
        <v>0.876</v>
      </c>
      <c r="E272" s="38">
        <v>1.1870000000000001</v>
      </c>
    </row>
    <row r="273" spans="1:5">
      <c r="A273" s="55" t="s">
        <v>1043</v>
      </c>
      <c r="B273" s="38">
        <v>0.77100000000000002</v>
      </c>
      <c r="C273" s="38">
        <v>0.754</v>
      </c>
      <c r="D273" s="38">
        <v>0.86499999999999999</v>
      </c>
      <c r="E273" s="38">
        <v>1.1819999999999999</v>
      </c>
    </row>
    <row r="274" spans="1:5">
      <c r="A274" s="55" t="s">
        <v>1044</v>
      </c>
      <c r="B274" s="38">
        <v>0.76</v>
      </c>
      <c r="C274" s="38">
        <v>0.74399999999999999</v>
      </c>
      <c r="D274" s="38">
        <v>0.85899999999999999</v>
      </c>
      <c r="E274" s="38">
        <v>1.177</v>
      </c>
    </row>
    <row r="275" spans="1:5">
      <c r="A275" s="55" t="s">
        <v>1045</v>
      </c>
      <c r="B275" s="38">
        <v>0.75</v>
      </c>
      <c r="C275" s="38">
        <v>0.73499999999999999</v>
      </c>
      <c r="D275" s="38">
        <v>0.84799999999999998</v>
      </c>
      <c r="E275" s="38">
        <v>1.163</v>
      </c>
    </row>
    <row r="276" spans="1:5">
      <c r="A276" s="55" t="s">
        <v>1046</v>
      </c>
      <c r="B276" s="38">
        <v>0.71499999999999997</v>
      </c>
      <c r="C276" s="38">
        <v>0.69699999999999995</v>
      </c>
      <c r="D276" s="38">
        <v>0.80800000000000005</v>
      </c>
      <c r="E276" s="38">
        <v>1.119</v>
      </c>
    </row>
    <row r="277" spans="1:5">
      <c r="A277" s="55" t="s">
        <v>1047</v>
      </c>
      <c r="B277" s="38">
        <v>0.74199999999999999</v>
      </c>
      <c r="C277" s="38">
        <v>0.72499999999999998</v>
      </c>
      <c r="D277" s="38">
        <v>0.82599999999999996</v>
      </c>
      <c r="E277" s="38">
        <v>1.105</v>
      </c>
    </row>
    <row r="278" spans="1:5">
      <c r="A278" s="55" t="s">
        <v>1048</v>
      </c>
      <c r="B278" s="38">
        <v>0.751</v>
      </c>
      <c r="C278" s="38">
        <v>0.73199999999999998</v>
      </c>
      <c r="D278" s="38">
        <v>0.82599999999999996</v>
      </c>
      <c r="E278" s="38">
        <v>1.091</v>
      </c>
    </row>
    <row r="279" spans="1:5">
      <c r="A279" s="55" t="s">
        <v>1049</v>
      </c>
      <c r="B279" s="38">
        <v>0.66</v>
      </c>
      <c r="C279" s="38">
        <v>0.627</v>
      </c>
      <c r="D279" s="38">
        <v>0.70899999999999996</v>
      </c>
      <c r="E279" s="38">
        <v>0.95699999999999996</v>
      </c>
    </row>
    <row r="280" spans="1:5">
      <c r="A280" s="55" t="s">
        <v>1050</v>
      </c>
      <c r="B280" s="38">
        <v>0.69799999999999995</v>
      </c>
      <c r="C280" s="38">
        <v>0.67700000000000005</v>
      </c>
      <c r="D280" s="38">
        <v>0.76300000000000001</v>
      </c>
      <c r="E280" s="38">
        <v>1.0169999999999999</v>
      </c>
    </row>
    <row r="281" spans="1:5">
      <c r="A281" s="55" t="s">
        <v>1051</v>
      </c>
      <c r="B281" s="38">
        <v>0.65200000000000002</v>
      </c>
      <c r="C281" s="38">
        <v>0.627</v>
      </c>
      <c r="D281" s="38">
        <v>0.71099999999999997</v>
      </c>
      <c r="E281" s="38">
        <v>0.96799999999999997</v>
      </c>
    </row>
    <row r="282" spans="1:5">
      <c r="A282" s="55" t="s">
        <v>1052</v>
      </c>
      <c r="B282" s="38">
        <v>0.64800000000000002</v>
      </c>
      <c r="C282" s="38">
        <v>0.622</v>
      </c>
      <c r="D282" s="38">
        <v>0.70299999999999996</v>
      </c>
      <c r="E282" s="38">
        <v>0.95799999999999996</v>
      </c>
    </row>
    <row r="283" spans="1:5">
      <c r="A283" s="55" t="s">
        <v>1053</v>
      </c>
      <c r="B283" s="38">
        <v>0.62</v>
      </c>
      <c r="C283" s="38">
        <v>0.58799999999999997</v>
      </c>
      <c r="D283" s="38">
        <v>0.67</v>
      </c>
      <c r="E283" s="38">
        <v>0.92900000000000005</v>
      </c>
    </row>
    <row r="284" spans="1:5">
      <c r="A284" s="55" t="s">
        <v>1054</v>
      </c>
      <c r="B284" s="38">
        <v>0.64700000000000002</v>
      </c>
      <c r="C284" s="38">
        <v>0.61799999999999999</v>
      </c>
      <c r="D284" s="38">
        <v>0.69099999999999995</v>
      </c>
      <c r="E284" s="38">
        <v>0.92900000000000005</v>
      </c>
    </row>
    <row r="285" spans="1:5">
      <c r="A285" s="55" t="s">
        <v>1055</v>
      </c>
      <c r="B285" s="38">
        <v>0.74099999999999999</v>
      </c>
      <c r="C285" s="38">
        <v>0.71699999999999997</v>
      </c>
      <c r="D285" s="38">
        <v>0.79100000000000004</v>
      </c>
      <c r="E285" s="38">
        <v>1.038</v>
      </c>
    </row>
    <row r="286" spans="1:5">
      <c r="A286" s="55" t="s">
        <v>1056</v>
      </c>
      <c r="B286" s="38">
        <v>0.78600000000000003</v>
      </c>
      <c r="C286" s="38">
        <v>0.76300000000000001</v>
      </c>
      <c r="D286" s="38">
        <v>0.84199999999999997</v>
      </c>
      <c r="E286" s="38">
        <v>1.097</v>
      </c>
    </row>
    <row r="287" spans="1:5">
      <c r="A287" s="55" t="s">
        <v>1057</v>
      </c>
      <c r="B287" s="38">
        <v>0.745</v>
      </c>
      <c r="C287" s="38">
        <v>0.72</v>
      </c>
      <c r="D287" s="38">
        <v>0.79500000000000004</v>
      </c>
      <c r="E287" s="38">
        <v>1.048</v>
      </c>
    </row>
    <row r="288" spans="1:5">
      <c r="A288" s="55" t="s">
        <v>1058</v>
      </c>
      <c r="B288" s="38">
        <v>0.72599999999999998</v>
      </c>
      <c r="C288" s="38">
        <v>0.70099999999999996</v>
      </c>
      <c r="D288" s="38">
        <v>0.76900000000000002</v>
      </c>
      <c r="E288" s="38">
        <v>1.0129999999999999</v>
      </c>
    </row>
    <row r="289" spans="1:5">
      <c r="A289" s="55" t="s">
        <v>1059</v>
      </c>
      <c r="B289" s="38">
        <v>0.73499999999999999</v>
      </c>
      <c r="C289" s="38">
        <v>0.71</v>
      </c>
      <c r="D289" s="38">
        <v>0.77900000000000003</v>
      </c>
      <c r="E289" s="38">
        <v>1.024</v>
      </c>
    </row>
    <row r="290" spans="1:5">
      <c r="A290" s="55" t="s">
        <v>1060</v>
      </c>
      <c r="B290" s="38">
        <v>0.76400000000000001</v>
      </c>
      <c r="C290" s="38">
        <v>0.73899999999999999</v>
      </c>
      <c r="D290" s="38">
        <v>0.80800000000000005</v>
      </c>
      <c r="E290" s="38">
        <v>1.069</v>
      </c>
    </row>
    <row r="291" spans="1:5">
      <c r="A291" s="55" t="s">
        <v>1061</v>
      </c>
      <c r="B291" s="38">
        <v>0.75800000000000001</v>
      </c>
      <c r="C291" s="38">
        <v>0.72899999999999998</v>
      </c>
      <c r="D291" s="38">
        <v>0.79600000000000004</v>
      </c>
      <c r="E291" s="38">
        <v>1.048</v>
      </c>
    </row>
    <row r="292" spans="1:5">
      <c r="A292" s="55" t="s">
        <v>1062</v>
      </c>
      <c r="B292" s="38">
        <v>0.75</v>
      </c>
      <c r="C292" s="38">
        <v>0.72199999999999998</v>
      </c>
      <c r="D292" s="38">
        <v>0.79100000000000004</v>
      </c>
      <c r="E292" s="38">
        <v>1.0529999999999999</v>
      </c>
    </row>
    <row r="293" spans="1:5">
      <c r="A293" s="55" t="s">
        <v>1063</v>
      </c>
      <c r="B293" s="38">
        <v>0.75600000000000001</v>
      </c>
      <c r="C293" s="38">
        <v>0.73099999999999998</v>
      </c>
      <c r="D293" s="38">
        <v>0.80100000000000005</v>
      </c>
      <c r="E293" s="38">
        <v>1.0589999999999999</v>
      </c>
    </row>
    <row r="294" spans="1:5">
      <c r="A294" s="55" t="s">
        <v>1064</v>
      </c>
      <c r="B294" s="38">
        <v>0.74299999999999999</v>
      </c>
      <c r="C294" s="38">
        <v>0.71699999999999997</v>
      </c>
      <c r="D294" s="38">
        <v>0.78500000000000003</v>
      </c>
      <c r="E294" s="38">
        <v>1.024</v>
      </c>
    </row>
    <row r="295" spans="1:5">
      <c r="A295" s="55" t="s">
        <v>1065</v>
      </c>
      <c r="B295" s="38">
        <v>0.74399999999999999</v>
      </c>
      <c r="C295" s="38">
        <v>0.71699999999999997</v>
      </c>
      <c r="D295" s="38">
        <v>0.78200000000000003</v>
      </c>
      <c r="E295" s="38">
        <v>1.0289999999999999</v>
      </c>
    </row>
    <row r="296" spans="1:5">
      <c r="A296" s="55" t="s">
        <v>1066</v>
      </c>
      <c r="B296" s="38">
        <v>0.70299999999999996</v>
      </c>
      <c r="C296" s="38">
        <v>0.67600000000000005</v>
      </c>
      <c r="D296" s="38">
        <v>0.74299999999999999</v>
      </c>
      <c r="E296" s="38">
        <v>0.99399999999999999</v>
      </c>
    </row>
    <row r="297" spans="1:5">
      <c r="A297" s="55" t="s">
        <v>1067</v>
      </c>
      <c r="B297" s="38">
        <v>0.66300000000000003</v>
      </c>
      <c r="C297" s="38">
        <v>0.63700000000000001</v>
      </c>
      <c r="D297" s="38">
        <v>0.69699999999999995</v>
      </c>
      <c r="E297" s="38">
        <v>0.92900000000000005</v>
      </c>
    </row>
    <row r="298" spans="1:5">
      <c r="A298" s="55" t="s">
        <v>1068</v>
      </c>
      <c r="B298" s="38">
        <v>0.64800000000000002</v>
      </c>
      <c r="C298" s="38">
        <v>0.623</v>
      </c>
      <c r="D298" s="38">
        <v>0.68</v>
      </c>
      <c r="E298" s="38">
        <v>0.91100000000000003</v>
      </c>
    </row>
    <row r="299" spans="1:5">
      <c r="A299" s="55" t="s">
        <v>1069</v>
      </c>
      <c r="B299" s="38">
        <v>0.65700000000000003</v>
      </c>
      <c r="C299" s="38">
        <v>0.63100000000000001</v>
      </c>
      <c r="D299" s="38">
        <v>0.68799999999999994</v>
      </c>
      <c r="E299" s="38">
        <v>0.92</v>
      </c>
    </row>
    <row r="300" spans="1:5">
      <c r="A300" s="55" t="s">
        <v>1070</v>
      </c>
      <c r="B300" s="38">
        <v>0.63500000000000001</v>
      </c>
      <c r="C300" s="38">
        <v>0.60499999999999998</v>
      </c>
      <c r="D300" s="38">
        <v>0.66400000000000003</v>
      </c>
      <c r="E300" s="38">
        <v>0.91</v>
      </c>
    </row>
    <row r="301" spans="1:5">
      <c r="A301" s="55" t="s">
        <v>1071</v>
      </c>
      <c r="B301" s="38">
        <v>0.59099999999999997</v>
      </c>
      <c r="C301" s="38">
        <v>0.55600000000000005</v>
      </c>
      <c r="D301" s="38">
        <v>0.61499999999999999</v>
      </c>
      <c r="E301" s="38">
        <v>0.84499999999999997</v>
      </c>
    </row>
    <row r="302" spans="1:5">
      <c r="A302" s="55" t="s">
        <v>1072</v>
      </c>
      <c r="B302" s="38">
        <v>0.53400000000000003</v>
      </c>
      <c r="C302" s="38">
        <v>0.502</v>
      </c>
      <c r="D302" s="38">
        <v>0.56499999999999995</v>
      </c>
      <c r="E302" s="38">
        <v>0.81</v>
      </c>
    </row>
    <row r="303" spans="1:5">
      <c r="A303" s="55" t="s">
        <v>1073</v>
      </c>
      <c r="B303" s="38">
        <v>0.46800000000000003</v>
      </c>
      <c r="C303" s="38">
        <v>0.44800000000000001</v>
      </c>
      <c r="D303" s="38">
        <v>0.52700000000000002</v>
      </c>
      <c r="E303" s="38">
        <v>0.79700000000000004</v>
      </c>
    </row>
    <row r="304" spans="1:5">
      <c r="A304" s="55" t="s">
        <v>1074</v>
      </c>
      <c r="B304" s="38">
        <v>0.45700000000000002</v>
      </c>
      <c r="C304" s="38">
        <v>0.44700000000000001</v>
      </c>
      <c r="D304" s="38">
        <v>0.52200000000000002</v>
      </c>
      <c r="E304" s="38">
        <v>0.78500000000000003</v>
      </c>
    </row>
    <row r="305" spans="1:5">
      <c r="A305" s="55" t="s">
        <v>1075</v>
      </c>
      <c r="B305" s="38">
        <v>0.38700000000000001</v>
      </c>
      <c r="C305" s="38">
        <v>0.377</v>
      </c>
      <c r="D305" s="38">
        <v>0.45100000000000001</v>
      </c>
      <c r="E305" s="38">
        <v>0.71299999999999997</v>
      </c>
    </row>
    <row r="306" spans="1:5">
      <c r="A306" s="55" t="s">
        <v>1076</v>
      </c>
      <c r="B306" s="38">
        <v>0.42</v>
      </c>
      <c r="C306" s="38">
        <v>0.41099999999999998</v>
      </c>
      <c r="D306" s="38">
        <v>0.495</v>
      </c>
      <c r="E306" s="38">
        <v>0.77300000000000002</v>
      </c>
    </row>
    <row r="307" spans="1:5">
      <c r="A307" s="55" t="s">
        <v>1077</v>
      </c>
      <c r="B307" s="38">
        <v>0.38800000000000001</v>
      </c>
      <c r="C307" s="38">
        <v>0.36</v>
      </c>
      <c r="D307" s="38">
        <v>0.434</v>
      </c>
      <c r="E307" s="38">
        <v>0.66800000000000004</v>
      </c>
    </row>
    <row r="308" spans="1:5">
      <c r="A308" s="55" t="s">
        <v>1078</v>
      </c>
      <c r="B308" s="38">
        <v>0.41299999999999998</v>
      </c>
      <c r="C308" s="38">
        <v>0.375</v>
      </c>
      <c r="D308" s="38">
        <v>0.435</v>
      </c>
      <c r="E308" s="38">
        <v>0.60599999999999998</v>
      </c>
    </row>
    <row r="309" spans="1:5">
      <c r="A309" s="55" t="s">
        <v>1079</v>
      </c>
      <c r="B309" s="38">
        <v>0.496</v>
      </c>
      <c r="C309" s="38">
        <v>0.47799999999999998</v>
      </c>
      <c r="D309" s="38">
        <v>0.54700000000000004</v>
      </c>
      <c r="E309" s="38">
        <v>0.78900000000000003</v>
      </c>
    </row>
    <row r="310" spans="1:5">
      <c r="A310" s="55" t="s">
        <v>1080</v>
      </c>
      <c r="B310" s="38">
        <v>0.42199999999999999</v>
      </c>
      <c r="C310" s="38">
        <v>0.39500000000000002</v>
      </c>
      <c r="D310" s="38">
        <v>0.46700000000000003</v>
      </c>
      <c r="E310" s="38">
        <v>0.67100000000000004</v>
      </c>
    </row>
    <row r="311" spans="1:5">
      <c r="A311" s="55" t="s">
        <v>1081</v>
      </c>
      <c r="B311" s="38">
        <v>0.433</v>
      </c>
      <c r="C311" s="38">
        <v>0.40300000000000002</v>
      </c>
      <c r="D311" s="38">
        <v>0.49399999999999999</v>
      </c>
      <c r="E311" s="38">
        <v>0.76300000000000001</v>
      </c>
    </row>
    <row r="312" spans="1:5">
      <c r="A312" s="55" t="s">
        <v>1082</v>
      </c>
      <c r="B312" s="38">
        <v>0.56599999999999995</v>
      </c>
      <c r="C312" s="38">
        <v>0.54100000000000004</v>
      </c>
      <c r="D312" s="38">
        <v>0.64800000000000002</v>
      </c>
      <c r="E312" s="38">
        <v>0.96899999999999997</v>
      </c>
    </row>
    <row r="313" spans="1:5">
      <c r="A313" s="55" t="s">
        <v>1083</v>
      </c>
      <c r="B313" s="38">
        <v>0.504</v>
      </c>
      <c r="C313" s="38">
        <v>0.47</v>
      </c>
      <c r="D313" s="38">
        <v>0.56399999999999995</v>
      </c>
      <c r="E313" s="38">
        <v>0.90800000000000003</v>
      </c>
    </row>
    <row r="314" spans="1:5">
      <c r="A314" s="55" t="s">
        <v>1084</v>
      </c>
      <c r="B314" s="38">
        <v>0.52500000000000002</v>
      </c>
      <c r="C314" s="38">
        <v>0.503</v>
      </c>
      <c r="D314" s="38">
        <v>0.623</v>
      </c>
      <c r="E314" s="38">
        <v>1.032</v>
      </c>
    </row>
    <row r="315" spans="1:5">
      <c r="A315" s="55" t="s">
        <v>1085</v>
      </c>
      <c r="B315" s="38">
        <v>0.51500000000000001</v>
      </c>
      <c r="C315" s="38">
        <v>0.49099999999999999</v>
      </c>
      <c r="D315" s="38">
        <v>0.64100000000000001</v>
      </c>
      <c r="E315" s="38">
        <v>1.2110000000000001</v>
      </c>
    </row>
    <row r="316" spans="1:5">
      <c r="A316" s="55" t="s">
        <v>1086</v>
      </c>
      <c r="B316" s="38">
        <v>0.33400000000000002</v>
      </c>
      <c r="C316" s="38">
        <v>0.33900000000000002</v>
      </c>
      <c r="D316" s="38">
        <v>0.56799999999999995</v>
      </c>
      <c r="E316" s="38">
        <v>1.4830000000000001</v>
      </c>
    </row>
    <row r="317" spans="1:5">
      <c r="A317" s="55" t="s">
        <v>1087</v>
      </c>
      <c r="B317" s="38">
        <v>0.28199999999999997</v>
      </c>
      <c r="C317" s="38">
        <v>0.28899999999999998</v>
      </c>
      <c r="D317" s="38">
        <v>0.48399999999999999</v>
      </c>
      <c r="E317" s="38">
        <v>1.1359999999999999</v>
      </c>
    </row>
    <row r="318" spans="1:5">
      <c r="A318" s="55" t="s">
        <v>1088</v>
      </c>
      <c r="B318" s="38">
        <v>0.28699999999999998</v>
      </c>
      <c r="C318" s="38">
        <v>0.3</v>
      </c>
      <c r="D318" s="38">
        <v>0.45</v>
      </c>
      <c r="E318" s="38">
        <v>0.90800000000000003</v>
      </c>
    </row>
    <row r="319" spans="1:5">
      <c r="A319" s="55" t="s">
        <v>1089</v>
      </c>
      <c r="B319" s="38">
        <v>0.28499999999999998</v>
      </c>
      <c r="C319" s="38">
        <v>0.30299999999999999</v>
      </c>
      <c r="D319" s="38">
        <v>0.45</v>
      </c>
      <c r="E319" s="38">
        <v>0.89</v>
      </c>
    </row>
    <row r="320" spans="1:5">
      <c r="A320" s="55" t="s">
        <v>1090</v>
      </c>
      <c r="B320" s="38">
        <v>0.28799999999999998</v>
      </c>
      <c r="C320" s="38">
        <v>0.311</v>
      </c>
      <c r="D320" s="38">
        <v>0.46100000000000002</v>
      </c>
      <c r="E320" s="38">
        <v>0.97299999999999998</v>
      </c>
    </row>
    <row r="321" spans="1:5">
      <c r="A321" s="55" t="s">
        <v>1091</v>
      </c>
      <c r="B321" s="38">
        <v>0.26800000000000002</v>
      </c>
      <c r="C321" s="38">
        <v>0.28799999999999998</v>
      </c>
      <c r="D321" s="38">
        <v>0.45300000000000001</v>
      </c>
      <c r="E321" s="38">
        <v>0.91900000000000004</v>
      </c>
    </row>
    <row r="322" spans="1:5">
      <c r="A322" s="55" t="s">
        <v>1092</v>
      </c>
      <c r="B322" s="38">
        <v>0.254</v>
      </c>
      <c r="C322" s="38">
        <v>0.27800000000000002</v>
      </c>
      <c r="D322" s="38">
        <v>0.45300000000000001</v>
      </c>
      <c r="E322" s="38">
        <v>0.91700000000000004</v>
      </c>
    </row>
    <row r="323" spans="1:5">
      <c r="A323" s="55" t="s">
        <v>1093</v>
      </c>
      <c r="B323" s="38">
        <v>0.255</v>
      </c>
      <c r="C323" s="38">
        <v>0.28100000000000003</v>
      </c>
      <c r="D323" s="38">
        <v>0.41899999999999998</v>
      </c>
      <c r="E323" s="38">
        <v>0.77500000000000002</v>
      </c>
    </row>
    <row r="324" spans="1:5">
      <c r="A324" s="55" t="s">
        <v>1094</v>
      </c>
      <c r="B324" s="38">
        <v>0.24399999999999999</v>
      </c>
      <c r="C324" s="38">
        <v>0.254</v>
      </c>
      <c r="D324" s="38">
        <v>0.41</v>
      </c>
      <c r="E324" s="38">
        <v>0.755</v>
      </c>
    </row>
    <row r="325" spans="1:5">
      <c r="A325" s="55" t="s">
        <v>1095</v>
      </c>
      <c r="B325" s="38">
        <v>0.21199999999999999</v>
      </c>
      <c r="C325" s="38">
        <v>0.21099999999999999</v>
      </c>
      <c r="D325" s="38">
        <v>0.35699999999999998</v>
      </c>
      <c r="E325" s="38">
        <v>0.67</v>
      </c>
    </row>
    <row r="326" spans="1:5">
      <c r="A326" s="55" t="s">
        <v>1096</v>
      </c>
      <c r="B326" s="38">
        <v>0.219</v>
      </c>
      <c r="C326" s="38">
        <v>0.23300000000000001</v>
      </c>
      <c r="D326" s="38">
        <v>0.4</v>
      </c>
      <c r="E326" s="38">
        <v>0.75900000000000001</v>
      </c>
    </row>
    <row r="327" spans="1:5">
      <c r="A327" s="55" t="s">
        <v>1097</v>
      </c>
      <c r="B327" s="38">
        <v>0.21199999999999999</v>
      </c>
      <c r="C327" s="38">
        <v>0.23499999999999999</v>
      </c>
      <c r="D327" s="38">
        <v>0.38900000000000001</v>
      </c>
      <c r="E327" s="38">
        <v>0.754</v>
      </c>
    </row>
    <row r="328" spans="1:5">
      <c r="A328" s="55" t="s">
        <v>1098</v>
      </c>
      <c r="B328" s="38">
        <v>0.22</v>
      </c>
      <c r="C328" s="38">
        <v>0.247</v>
      </c>
      <c r="D328" s="38">
        <v>0.39900000000000002</v>
      </c>
      <c r="E328" s="38">
        <v>0.76900000000000002</v>
      </c>
    </row>
    <row r="329" spans="1:5">
      <c r="A329" s="55" t="s">
        <v>1099</v>
      </c>
      <c r="B329" s="38">
        <v>0.224</v>
      </c>
      <c r="C329" s="38">
        <v>0.25600000000000001</v>
      </c>
      <c r="D329" s="38">
        <v>0.42299999999999999</v>
      </c>
      <c r="E329" s="38">
        <v>0.91200000000000003</v>
      </c>
    </row>
    <row r="330" spans="1:5">
      <c r="A330" s="55" t="s">
        <v>1100</v>
      </c>
      <c r="B330" s="38">
        <v>0.219</v>
      </c>
      <c r="C330" s="38">
        <v>0.246</v>
      </c>
      <c r="D330" s="38">
        <v>0.42299999999999999</v>
      </c>
      <c r="E330" s="38">
        <v>0.91100000000000003</v>
      </c>
    </row>
    <row r="331" spans="1:5">
      <c r="A331" s="55" t="s">
        <v>1101</v>
      </c>
      <c r="B331" s="38">
        <v>0.23100000000000001</v>
      </c>
      <c r="C331" s="38">
        <v>0.26200000000000001</v>
      </c>
      <c r="D331" s="38">
        <v>0.44400000000000001</v>
      </c>
      <c r="E331" s="38">
        <v>0.89900000000000002</v>
      </c>
    </row>
    <row r="332" spans="1:5">
      <c r="A332" s="55" t="s">
        <v>1102</v>
      </c>
      <c r="B332" s="38">
        <v>0.22600000000000001</v>
      </c>
      <c r="C332" s="38">
        <v>0.25800000000000001</v>
      </c>
      <c r="D332" s="38">
        <v>0.443</v>
      </c>
      <c r="E332" s="38">
        <v>0.91800000000000004</v>
      </c>
    </row>
    <row r="333" spans="1:5">
      <c r="A333" s="55" t="s">
        <v>1103</v>
      </c>
      <c r="B333" s="38">
        <v>0.23100000000000001</v>
      </c>
      <c r="C333" s="38">
        <v>0.27</v>
      </c>
      <c r="D333" s="38">
        <v>0.44800000000000001</v>
      </c>
      <c r="E333" s="38">
        <v>0.90700000000000003</v>
      </c>
    </row>
    <row r="334" spans="1:5">
      <c r="A334" s="55" t="s">
        <v>1104</v>
      </c>
      <c r="B334" s="38">
        <v>0.221</v>
      </c>
      <c r="C334" s="38">
        <v>0.252</v>
      </c>
      <c r="D334" s="38">
        <v>0.41899999999999998</v>
      </c>
      <c r="E334" s="38">
        <v>0.84199999999999997</v>
      </c>
    </row>
    <row r="335" spans="1:5">
      <c r="A335" s="55" t="s">
        <v>1105</v>
      </c>
      <c r="B335" s="38">
        <v>0.22500000000000001</v>
      </c>
      <c r="C335" s="38">
        <v>0.25900000000000001</v>
      </c>
      <c r="D335" s="38">
        <v>0.42199999999999999</v>
      </c>
      <c r="E335" s="38">
        <v>0.85199999999999998</v>
      </c>
    </row>
    <row r="336" spans="1:5">
      <c r="A336" s="55" t="s">
        <v>1106</v>
      </c>
      <c r="B336" s="38">
        <v>0.22800000000000001</v>
      </c>
      <c r="C336" s="38">
        <v>0.26500000000000001</v>
      </c>
      <c r="D336" s="38">
        <v>0.42199999999999999</v>
      </c>
      <c r="E336" s="38">
        <v>0.83299999999999996</v>
      </c>
    </row>
    <row r="337" spans="1:5">
      <c r="A337" s="55" t="s">
        <v>1107</v>
      </c>
      <c r="B337" s="38">
        <v>0.224</v>
      </c>
      <c r="C337" s="38">
        <v>0.26</v>
      </c>
      <c r="D337" s="38">
        <v>0.42599999999999999</v>
      </c>
      <c r="E337" s="38">
        <v>0.85199999999999998</v>
      </c>
    </row>
    <row r="338" spans="1:5">
      <c r="A338" s="55" t="s">
        <v>1108</v>
      </c>
      <c r="B338" s="38">
        <v>0.222</v>
      </c>
      <c r="C338" s="38">
        <v>0.25700000000000001</v>
      </c>
      <c r="D338" s="38">
        <v>0.41399999999999998</v>
      </c>
      <c r="E338" s="38">
        <v>0.83599999999999997</v>
      </c>
    </row>
    <row r="339" spans="1:5">
      <c r="A339" s="55" t="s">
        <v>1109</v>
      </c>
      <c r="B339" s="38">
        <v>0.22700000000000001</v>
      </c>
      <c r="C339" s="38">
        <v>0.26700000000000002</v>
      </c>
      <c r="D339" s="38">
        <v>0.42899999999999999</v>
      </c>
      <c r="E339" s="38">
        <v>0.872</v>
      </c>
    </row>
    <row r="340" spans="1:5">
      <c r="A340" s="55" t="s">
        <v>1110</v>
      </c>
      <c r="B340" s="38">
        <v>0.22800000000000001</v>
      </c>
      <c r="C340" s="38">
        <v>0.26500000000000001</v>
      </c>
      <c r="D340" s="38">
        <v>0.434</v>
      </c>
      <c r="E340" s="38">
        <v>0.872</v>
      </c>
    </row>
    <row r="341" spans="1:5">
      <c r="A341" s="55" t="s">
        <v>1111</v>
      </c>
      <c r="B341" s="38">
        <v>0.23100000000000001</v>
      </c>
      <c r="C341" s="38">
        <v>0.26500000000000001</v>
      </c>
      <c r="D341" s="38">
        <v>0.443</v>
      </c>
      <c r="E341" s="38">
        <v>0.90700000000000003</v>
      </c>
    </row>
    <row r="342" spans="1:5">
      <c r="A342" s="55" t="s">
        <v>1112</v>
      </c>
      <c r="B342" s="38">
        <v>0.22800000000000001</v>
      </c>
      <c r="C342" s="38">
        <v>0.26100000000000001</v>
      </c>
      <c r="D342" s="38">
        <v>0.437</v>
      </c>
      <c r="E342" s="38">
        <v>0.92200000000000004</v>
      </c>
    </row>
    <row r="343" spans="1:5">
      <c r="A343" s="55" t="s">
        <v>1113</v>
      </c>
      <c r="B343" s="38">
        <v>0.22700000000000001</v>
      </c>
      <c r="C343" s="38">
        <v>0.25700000000000001</v>
      </c>
      <c r="D343" s="38">
        <v>0.43</v>
      </c>
      <c r="E343" s="38">
        <v>0.91700000000000004</v>
      </c>
    </row>
    <row r="344" spans="1:5">
      <c r="A344" s="55" t="s">
        <v>1114</v>
      </c>
      <c r="B344" s="38">
        <v>0.222</v>
      </c>
      <c r="C344" s="38">
        <v>0.251</v>
      </c>
      <c r="D344" s="38">
        <v>0.41599999999999998</v>
      </c>
      <c r="E344" s="38">
        <v>0.88700000000000001</v>
      </c>
    </row>
    <row r="345" spans="1:5">
      <c r="A345" s="55" t="s">
        <v>1115</v>
      </c>
      <c r="B345" s="38">
        <v>0.221</v>
      </c>
      <c r="C345" s="38">
        <v>0.24399999999999999</v>
      </c>
      <c r="D345" s="38">
        <v>0.40600000000000003</v>
      </c>
      <c r="E345" s="38">
        <v>0.86699999999999999</v>
      </c>
    </row>
    <row r="346" spans="1:5">
      <c r="A346" s="55" t="s">
        <v>1116</v>
      </c>
      <c r="B346" s="38">
        <v>0.22</v>
      </c>
      <c r="C346" s="38">
        <v>0.24</v>
      </c>
      <c r="D346" s="38">
        <v>0.38500000000000001</v>
      </c>
      <c r="E346" s="38">
        <v>0.82799999999999996</v>
      </c>
    </row>
    <row r="347" spans="1:5">
      <c r="A347" s="55" t="s">
        <v>1117</v>
      </c>
      <c r="B347" s="38">
        <v>0.218</v>
      </c>
      <c r="C347" s="38">
        <v>0.24</v>
      </c>
      <c r="D347" s="38">
        <v>0.39</v>
      </c>
      <c r="E347" s="38">
        <v>0.86499999999999999</v>
      </c>
    </row>
    <row r="348" spans="1:5">
      <c r="A348" s="55" t="s">
        <v>1118</v>
      </c>
      <c r="B348" s="38">
        <v>0.22800000000000001</v>
      </c>
      <c r="C348" s="38">
        <v>0.253</v>
      </c>
      <c r="D348" s="38">
        <v>0.40400000000000003</v>
      </c>
      <c r="E348" s="38">
        <v>0.91400000000000003</v>
      </c>
    </row>
    <row r="349" spans="1:5">
      <c r="A349" s="55" t="s">
        <v>1119</v>
      </c>
      <c r="B349" s="38">
        <v>0.22600000000000001</v>
      </c>
      <c r="C349" s="38">
        <v>0.249</v>
      </c>
      <c r="D349" s="38">
        <v>0.40400000000000003</v>
      </c>
      <c r="E349" s="38">
        <v>0.92400000000000004</v>
      </c>
    </row>
    <row r="350" spans="1:5">
      <c r="A350" s="55" t="s">
        <v>1120</v>
      </c>
      <c r="B350" s="38">
        <v>0.219</v>
      </c>
      <c r="C350" s="38">
        <v>0.23200000000000001</v>
      </c>
      <c r="D350" s="38">
        <v>0.38400000000000001</v>
      </c>
      <c r="E350" s="38">
        <v>0.89</v>
      </c>
    </row>
    <row r="351" spans="1:5">
      <c r="A351" s="55" t="s">
        <v>1121</v>
      </c>
      <c r="B351" s="38">
        <v>0.219</v>
      </c>
      <c r="C351" s="38">
        <v>0.23400000000000001</v>
      </c>
      <c r="D351" s="38">
        <v>0.39500000000000002</v>
      </c>
      <c r="E351" s="38">
        <v>0.96</v>
      </c>
    </row>
    <row r="352" spans="1:5">
      <c r="A352" s="55" t="s">
        <v>1122</v>
      </c>
      <c r="B352" s="38">
        <v>0.22800000000000001</v>
      </c>
      <c r="C352" s="38">
        <v>0.23300000000000001</v>
      </c>
      <c r="D352" s="38">
        <v>0.39400000000000002</v>
      </c>
      <c r="E352" s="38">
        <v>0.95599999999999996</v>
      </c>
    </row>
    <row r="353" spans="1:5">
      <c r="A353" s="55" t="s">
        <v>1123</v>
      </c>
      <c r="B353" s="38">
        <v>0.23699999999999999</v>
      </c>
      <c r="C353" s="38">
        <v>0.23699999999999999</v>
      </c>
      <c r="D353" s="38">
        <v>0.39200000000000002</v>
      </c>
      <c r="E353" s="38">
        <v>0.95599999999999996</v>
      </c>
    </row>
    <row r="354" spans="1:5">
      <c r="A354" s="55" t="s">
        <v>1124</v>
      </c>
      <c r="B354" s="38">
        <v>0.251</v>
      </c>
      <c r="C354" s="38">
        <v>0.23599999999999999</v>
      </c>
      <c r="D354" s="38">
        <v>0.374</v>
      </c>
      <c r="E354" s="38">
        <v>0.89700000000000002</v>
      </c>
    </row>
    <row r="355" spans="1:5">
      <c r="A355" s="55" t="s">
        <v>1125</v>
      </c>
      <c r="B355" s="38">
        <v>0.251</v>
      </c>
      <c r="C355" s="38">
        <v>0.24299999999999999</v>
      </c>
      <c r="D355" s="38">
        <v>0.38500000000000001</v>
      </c>
      <c r="E355" s="38">
        <v>0.90800000000000003</v>
      </c>
    </row>
    <row r="356" spans="1:5">
      <c r="A356" s="55" t="s">
        <v>1126</v>
      </c>
      <c r="B356" s="38">
        <v>0.255</v>
      </c>
      <c r="C356" s="38">
        <v>0.246</v>
      </c>
      <c r="D356" s="38">
        <v>0.38400000000000001</v>
      </c>
      <c r="E356" s="38">
        <v>0.90900000000000003</v>
      </c>
    </row>
    <row r="357" spans="1:5">
      <c r="A357" s="55" t="s">
        <v>1127</v>
      </c>
      <c r="B357" s="38">
        <v>0.26200000000000001</v>
      </c>
      <c r="C357" s="38">
        <v>0.25700000000000001</v>
      </c>
      <c r="D357" s="38">
        <v>0.40899999999999997</v>
      </c>
      <c r="E357" s="38">
        <v>0.97799999999999998</v>
      </c>
    </row>
    <row r="358" spans="1:5">
      <c r="A358" s="55" t="s">
        <v>1128</v>
      </c>
      <c r="B358" s="38">
        <v>0.25900000000000001</v>
      </c>
      <c r="C358" s="38">
        <v>0.25600000000000001</v>
      </c>
      <c r="D358" s="38">
        <v>0.40600000000000003</v>
      </c>
      <c r="E358" s="38">
        <v>0.94799999999999995</v>
      </c>
    </row>
    <row r="359" spans="1:5">
      <c r="A359" s="55" t="s">
        <v>1129</v>
      </c>
      <c r="B359" s="38">
        <v>0.25600000000000001</v>
      </c>
      <c r="C359" s="38">
        <v>0.249</v>
      </c>
      <c r="D359" s="38">
        <v>0.39200000000000002</v>
      </c>
      <c r="E359" s="38">
        <v>0.91200000000000003</v>
      </c>
    </row>
    <row r="360" spans="1:5">
      <c r="A360" s="55" t="s">
        <v>1130</v>
      </c>
      <c r="B360" s="38">
        <v>0.25700000000000001</v>
      </c>
      <c r="C360" s="38">
        <v>0.252</v>
      </c>
      <c r="D360" s="38">
        <v>0.39</v>
      </c>
      <c r="E360" s="38">
        <v>0.86799999999999999</v>
      </c>
    </row>
    <row r="361" spans="1:5">
      <c r="A361" s="55" t="s">
        <v>1131</v>
      </c>
      <c r="B361" s="38">
        <v>0.26</v>
      </c>
      <c r="C361" s="38">
        <v>0.255</v>
      </c>
      <c r="D361" s="38">
        <v>0.39500000000000002</v>
      </c>
      <c r="E361" s="38">
        <v>0.86</v>
      </c>
    </row>
    <row r="362" spans="1:5">
      <c r="A362" s="55" t="s">
        <v>1132</v>
      </c>
      <c r="B362" s="38">
        <v>0.26300000000000001</v>
      </c>
      <c r="C362" s="38">
        <v>0.25900000000000001</v>
      </c>
      <c r="D362" s="38">
        <v>0.40300000000000002</v>
      </c>
      <c r="E362" s="38">
        <v>0.88400000000000001</v>
      </c>
    </row>
    <row r="363" spans="1:5">
      <c r="A363" s="55" t="s">
        <v>1133</v>
      </c>
      <c r="B363" s="38">
        <v>0.26200000000000001</v>
      </c>
      <c r="C363" s="38">
        <v>0.255</v>
      </c>
      <c r="D363" s="38">
        <v>0.39900000000000002</v>
      </c>
      <c r="E363" s="38">
        <v>0.879</v>
      </c>
    </row>
    <row r="364" spans="1:5">
      <c r="A364" s="55" t="s">
        <v>1134</v>
      </c>
      <c r="B364" s="38">
        <v>0.26300000000000001</v>
      </c>
      <c r="C364" s="38">
        <v>0.26</v>
      </c>
      <c r="D364" s="38">
        <v>0.40300000000000002</v>
      </c>
      <c r="E364" s="38">
        <v>0.879</v>
      </c>
    </row>
    <row r="365" spans="1:5">
      <c r="A365" s="55" t="s">
        <v>1135</v>
      </c>
      <c r="B365" s="38">
        <v>0.26400000000000001</v>
      </c>
      <c r="C365" s="38">
        <v>0.26200000000000001</v>
      </c>
      <c r="D365" s="38">
        <v>0.40200000000000002</v>
      </c>
      <c r="E365" s="38">
        <v>0.88500000000000001</v>
      </c>
    </row>
    <row r="366" spans="1:5">
      <c r="A366" s="55" t="s">
        <v>1136</v>
      </c>
      <c r="B366" s="38">
        <v>0.26800000000000002</v>
      </c>
      <c r="C366" s="38">
        <v>0.25900000000000001</v>
      </c>
      <c r="D366" s="38">
        <v>0.39600000000000002</v>
      </c>
      <c r="E366" s="38">
        <v>0.89500000000000002</v>
      </c>
    </row>
    <row r="367" spans="1:5">
      <c r="A367" s="55" t="s">
        <v>1137</v>
      </c>
      <c r="B367" s="38">
        <v>0.26600000000000001</v>
      </c>
      <c r="C367" s="38">
        <v>0.26</v>
      </c>
      <c r="D367" s="38">
        <v>0.39400000000000002</v>
      </c>
      <c r="E367" s="38">
        <v>0.90700000000000003</v>
      </c>
    </row>
    <row r="368" spans="1:5">
      <c r="A368" s="55" t="s">
        <v>1138</v>
      </c>
      <c r="B368" s="38">
        <v>0.27400000000000002</v>
      </c>
      <c r="C368" s="38">
        <v>0.26900000000000002</v>
      </c>
      <c r="D368" s="38">
        <v>0.41</v>
      </c>
      <c r="E368" s="38">
        <v>0.96799999999999997</v>
      </c>
    </row>
    <row r="369" spans="1:5">
      <c r="A369" s="55" t="s">
        <v>1139</v>
      </c>
      <c r="B369" s="38">
        <v>0.28199999999999997</v>
      </c>
      <c r="C369" s="38">
        <v>0.27900000000000003</v>
      </c>
      <c r="D369" s="38">
        <v>0.42799999999999999</v>
      </c>
      <c r="E369" s="38">
        <v>1.022</v>
      </c>
    </row>
    <row r="370" spans="1:5">
      <c r="A370" s="55" t="s">
        <v>1140</v>
      </c>
      <c r="B370" s="38">
        <v>0.28399999999999997</v>
      </c>
      <c r="C370" s="38">
        <v>0.28199999999999997</v>
      </c>
      <c r="D370" s="38">
        <v>0.441</v>
      </c>
      <c r="E370" s="38">
        <v>1.0940000000000001</v>
      </c>
    </row>
    <row r="371" spans="1:5">
      <c r="A371" s="55" t="s">
        <v>1141</v>
      </c>
      <c r="B371" s="38">
        <v>0.28100000000000003</v>
      </c>
      <c r="C371" s="38">
        <v>0.27600000000000002</v>
      </c>
      <c r="D371" s="38">
        <v>0.42599999999999999</v>
      </c>
      <c r="E371" s="38">
        <v>1.052</v>
      </c>
    </row>
    <row r="372" spans="1:5">
      <c r="A372" s="55" t="s">
        <v>1142</v>
      </c>
      <c r="B372" s="38">
        <v>0.28100000000000003</v>
      </c>
      <c r="C372" s="38">
        <v>0.27300000000000002</v>
      </c>
      <c r="D372" s="38">
        <v>0.42199999999999999</v>
      </c>
      <c r="E372" s="38">
        <v>1.022</v>
      </c>
    </row>
    <row r="373" spans="1:5">
      <c r="A373" s="55" t="s">
        <v>1143</v>
      </c>
      <c r="B373" s="38">
        <v>0.27100000000000002</v>
      </c>
      <c r="C373" s="38">
        <v>0.255</v>
      </c>
      <c r="D373" s="38">
        <v>0.38600000000000001</v>
      </c>
      <c r="E373" s="38">
        <v>0.92500000000000004</v>
      </c>
    </row>
    <row r="374" spans="1:5">
      <c r="A374" s="55" t="s">
        <v>1144</v>
      </c>
      <c r="B374" s="38">
        <v>0.27</v>
      </c>
      <c r="C374" s="38">
        <v>0.255</v>
      </c>
      <c r="D374" s="38">
        <v>0.38500000000000001</v>
      </c>
      <c r="E374" s="38">
        <v>0.91300000000000003</v>
      </c>
    </row>
    <row r="375" spans="1:5">
      <c r="A375" s="55" t="s">
        <v>1145</v>
      </c>
      <c r="B375" s="38">
        <v>0.26500000000000001</v>
      </c>
      <c r="C375" s="38">
        <v>0.251</v>
      </c>
      <c r="D375" s="38">
        <v>0.377</v>
      </c>
      <c r="E375" s="38">
        <v>0.86499999999999999</v>
      </c>
    </row>
    <row r="376" spans="1:5">
      <c r="A376" s="55" t="s">
        <v>1146</v>
      </c>
      <c r="B376" s="38">
        <v>0.26400000000000001</v>
      </c>
      <c r="C376" s="38">
        <v>0.25600000000000001</v>
      </c>
      <c r="D376" s="38">
        <v>0.39600000000000002</v>
      </c>
      <c r="E376" s="38">
        <v>0.92</v>
      </c>
    </row>
    <row r="377" spans="1:5">
      <c r="A377" s="55" t="s">
        <v>1147</v>
      </c>
      <c r="B377" s="38">
        <v>0.26400000000000001</v>
      </c>
      <c r="C377" s="38">
        <v>0.255</v>
      </c>
      <c r="D377" s="38">
        <v>0.39900000000000002</v>
      </c>
      <c r="E377" s="38">
        <v>0.92100000000000004</v>
      </c>
    </row>
    <row r="378" spans="1:5">
      <c r="A378" s="55" t="s">
        <v>1148</v>
      </c>
      <c r="B378" s="38">
        <v>0.26</v>
      </c>
      <c r="C378" s="38">
        <v>0.249</v>
      </c>
      <c r="D378" s="38">
        <v>0.38900000000000001</v>
      </c>
      <c r="E378" s="38">
        <v>0.88600000000000001</v>
      </c>
    </row>
    <row r="379" spans="1:5">
      <c r="A379" s="55" t="s">
        <v>1149</v>
      </c>
      <c r="B379" s="38">
        <v>0.26300000000000001</v>
      </c>
      <c r="C379" s="38">
        <v>0.255</v>
      </c>
      <c r="D379" s="38">
        <v>0.39100000000000001</v>
      </c>
      <c r="E379" s="38">
        <v>0.86599999999999999</v>
      </c>
    </row>
    <row r="380" spans="1:5">
      <c r="A380" s="55" t="s">
        <v>1150</v>
      </c>
      <c r="B380" s="38">
        <v>0.26100000000000001</v>
      </c>
      <c r="C380" s="38">
        <v>0.25700000000000001</v>
      </c>
      <c r="D380" s="38">
        <v>0.39400000000000002</v>
      </c>
      <c r="E380" s="38">
        <v>0.872</v>
      </c>
    </row>
    <row r="381" spans="1:5">
      <c r="A381" s="55" t="s">
        <v>1151</v>
      </c>
      <c r="B381" s="38">
        <v>0.25900000000000001</v>
      </c>
      <c r="C381" s="38">
        <v>0.26700000000000002</v>
      </c>
      <c r="D381" s="38">
        <v>0.40699999999999997</v>
      </c>
      <c r="E381" s="38">
        <v>0.90700000000000003</v>
      </c>
    </row>
    <row r="382" spans="1:5">
      <c r="A382" s="55" t="s">
        <v>1152</v>
      </c>
      <c r="B382" s="38">
        <v>0.252</v>
      </c>
      <c r="C382" s="38">
        <v>0.27100000000000002</v>
      </c>
      <c r="D382" s="38">
        <v>0.41499999999999998</v>
      </c>
      <c r="E382" s="38">
        <v>0.92900000000000005</v>
      </c>
    </row>
    <row r="383" spans="1:5">
      <c r="A383" s="55" t="s">
        <v>1153</v>
      </c>
      <c r="B383" s="38">
        <v>0.25</v>
      </c>
      <c r="C383" s="38">
        <v>0.26600000000000001</v>
      </c>
      <c r="D383" s="38">
        <v>0.40400000000000003</v>
      </c>
      <c r="E383" s="38">
        <v>0.88900000000000001</v>
      </c>
    </row>
    <row r="384" spans="1:5">
      <c r="A384" s="55" t="s">
        <v>1154</v>
      </c>
      <c r="B384" s="38">
        <v>0.248</v>
      </c>
      <c r="C384" s="38">
        <v>0.26100000000000001</v>
      </c>
      <c r="D384" s="38">
        <v>0.39900000000000002</v>
      </c>
      <c r="E384" s="38">
        <v>0.873</v>
      </c>
    </row>
    <row r="385" spans="1:5">
      <c r="A385" s="55" t="s">
        <v>1155</v>
      </c>
      <c r="B385" s="38">
        <v>0.25</v>
      </c>
      <c r="C385" s="38">
        <v>0.26400000000000001</v>
      </c>
      <c r="D385" s="38">
        <v>0.40600000000000003</v>
      </c>
      <c r="E385" s="38">
        <v>0.88800000000000001</v>
      </c>
    </row>
    <row r="386" spans="1:5">
      <c r="A386" s="55" t="s">
        <v>1156</v>
      </c>
      <c r="B386" s="38">
        <v>0.249</v>
      </c>
      <c r="C386" s="38">
        <v>0.26200000000000001</v>
      </c>
      <c r="D386" s="38">
        <v>0.40600000000000003</v>
      </c>
      <c r="E386" s="38">
        <v>0.878</v>
      </c>
    </row>
    <row r="387" spans="1:5">
      <c r="A387" s="55" t="s">
        <v>1157</v>
      </c>
      <c r="B387" s="38">
        <v>0.253</v>
      </c>
      <c r="C387" s="38">
        <v>0.27</v>
      </c>
      <c r="D387" s="38">
        <v>0.42</v>
      </c>
      <c r="E387" s="38">
        <v>0.94299999999999995</v>
      </c>
    </row>
    <row r="388" spans="1:5">
      <c r="A388" s="55" t="s">
        <v>1158</v>
      </c>
      <c r="B388" s="38">
        <v>0.25</v>
      </c>
      <c r="C388" s="38">
        <v>0.26600000000000001</v>
      </c>
      <c r="D388" s="38">
        <v>0.41399999999999998</v>
      </c>
      <c r="E388" s="38">
        <v>0.93200000000000005</v>
      </c>
    </row>
    <row r="389" spans="1:5">
      <c r="A389" s="55" t="s">
        <v>1159</v>
      </c>
      <c r="B389" s="38">
        <v>0.252</v>
      </c>
      <c r="C389" s="38">
        <v>0.27</v>
      </c>
      <c r="D389" s="38">
        <v>0.41499999999999998</v>
      </c>
      <c r="E389" s="38">
        <v>0.91300000000000003</v>
      </c>
    </row>
    <row r="390" spans="1:5">
      <c r="A390" s="55" t="s">
        <v>1160</v>
      </c>
      <c r="B390" s="38">
        <v>0.254</v>
      </c>
      <c r="C390" s="38">
        <v>0.27200000000000002</v>
      </c>
      <c r="D390" s="38">
        <v>0.42399999999999999</v>
      </c>
      <c r="E390" s="38">
        <v>0.93400000000000005</v>
      </c>
    </row>
    <row r="391" spans="1:5">
      <c r="A391" s="55" t="s">
        <v>1161</v>
      </c>
      <c r="B391" s="38">
        <v>0.253</v>
      </c>
      <c r="C391" s="38">
        <v>0.26200000000000001</v>
      </c>
      <c r="D391" s="38">
        <v>0.41099999999999998</v>
      </c>
      <c r="E391" s="38">
        <v>0.89400000000000002</v>
      </c>
    </row>
    <row r="392" spans="1:5">
      <c r="A392" s="55" t="s">
        <v>1162</v>
      </c>
      <c r="B392" s="38">
        <v>0.249</v>
      </c>
      <c r="C392" s="38">
        <v>0.25900000000000001</v>
      </c>
      <c r="D392" s="38">
        <v>0.40600000000000003</v>
      </c>
      <c r="E392" s="38">
        <v>0.88</v>
      </c>
    </row>
    <row r="393" spans="1:5">
      <c r="A393" s="55" t="s">
        <v>1163</v>
      </c>
      <c r="B393" s="38">
        <v>0.251</v>
      </c>
      <c r="C393" s="38">
        <v>0.26900000000000002</v>
      </c>
      <c r="D393" s="38">
        <v>0.41899999999999998</v>
      </c>
      <c r="E393" s="38">
        <v>0.91</v>
      </c>
    </row>
    <row r="394" spans="1:5">
      <c r="A394" s="55" t="s">
        <v>1164</v>
      </c>
      <c r="B394" s="38">
        <v>0.25</v>
      </c>
      <c r="C394" s="38">
        <v>0.26800000000000002</v>
      </c>
      <c r="D394" s="38">
        <v>0.41299999999999998</v>
      </c>
      <c r="E394" s="38">
        <v>0.871</v>
      </c>
    </row>
    <row r="395" spans="1:5">
      <c r="A395" s="55" t="s">
        <v>1165</v>
      </c>
      <c r="B395" s="38">
        <v>0.25700000000000001</v>
      </c>
      <c r="C395" s="38">
        <v>0.28299999999999997</v>
      </c>
      <c r="D395" s="38">
        <v>0.435</v>
      </c>
      <c r="E395" s="38">
        <v>0.91200000000000003</v>
      </c>
    </row>
    <row r="396" spans="1:5">
      <c r="A396" s="55" t="s">
        <v>1166</v>
      </c>
      <c r="B396" s="38">
        <v>0.26100000000000001</v>
      </c>
      <c r="C396" s="38">
        <v>0.29299999999999998</v>
      </c>
      <c r="D396" s="38">
        <v>0.44</v>
      </c>
      <c r="E396" s="38">
        <v>0.92200000000000004</v>
      </c>
    </row>
    <row r="397" spans="1:5">
      <c r="A397" s="55" t="s">
        <v>1167</v>
      </c>
      <c r="B397" s="38">
        <v>0.25700000000000001</v>
      </c>
      <c r="C397" s="38">
        <v>0.28299999999999997</v>
      </c>
      <c r="D397" s="38">
        <v>0.42899999999999999</v>
      </c>
      <c r="E397" s="38">
        <v>0.88300000000000001</v>
      </c>
    </row>
    <row r="398" spans="1:5">
      <c r="A398" s="55" t="s">
        <v>1168</v>
      </c>
      <c r="B398" s="38">
        <v>0.25600000000000001</v>
      </c>
      <c r="C398" s="38">
        <v>0.28299999999999997</v>
      </c>
      <c r="D398" s="38">
        <v>0.43099999999999999</v>
      </c>
      <c r="E398" s="38">
        <v>0.89400000000000002</v>
      </c>
    </row>
    <row r="399" spans="1:5">
      <c r="A399" s="55" t="s">
        <v>1169</v>
      </c>
      <c r="B399" s="38">
        <v>0.26100000000000001</v>
      </c>
      <c r="C399" s="38">
        <v>0.27900000000000003</v>
      </c>
      <c r="D399" s="38">
        <v>0.42499999999999999</v>
      </c>
      <c r="E399" s="38">
        <v>0.88</v>
      </c>
    </row>
    <row r="400" spans="1:5">
      <c r="A400" s="55" t="s">
        <v>1170</v>
      </c>
      <c r="B400" s="38">
        <v>0.26500000000000001</v>
      </c>
      <c r="C400" s="38">
        <v>0.28399999999999997</v>
      </c>
      <c r="D400" s="38">
        <v>0.432</v>
      </c>
      <c r="E400" s="38">
        <v>0.9</v>
      </c>
    </row>
    <row r="401" spans="1:5">
      <c r="A401" s="55" t="s">
        <v>1171</v>
      </c>
      <c r="B401" s="38">
        <v>0.26500000000000001</v>
      </c>
      <c r="C401" s="38">
        <v>0.28599999999999998</v>
      </c>
      <c r="D401" s="38">
        <v>0.42899999999999999</v>
      </c>
      <c r="E401" s="38">
        <v>0.876</v>
      </c>
    </row>
    <row r="402" spans="1:5">
      <c r="A402" s="55" t="s">
        <v>1172</v>
      </c>
      <c r="B402" s="38">
        <v>0.27900000000000003</v>
      </c>
      <c r="C402" s="38">
        <v>0.29099999999999998</v>
      </c>
      <c r="D402" s="38">
        <v>0.437</v>
      </c>
      <c r="E402" s="38">
        <v>0.90200000000000002</v>
      </c>
    </row>
    <row r="403" spans="1:5">
      <c r="A403" s="55" t="s">
        <v>1173</v>
      </c>
      <c r="B403" s="38">
        <v>0.26900000000000002</v>
      </c>
      <c r="C403" s="38">
        <v>0.28499999999999998</v>
      </c>
      <c r="D403" s="38">
        <v>0.42899999999999999</v>
      </c>
      <c r="E403" s="38">
        <v>0.876</v>
      </c>
    </row>
    <row r="404" spans="1:5">
      <c r="A404" s="55" t="s">
        <v>1174</v>
      </c>
      <c r="B404" s="38">
        <v>0.26</v>
      </c>
      <c r="C404" s="38">
        <v>0.28000000000000003</v>
      </c>
      <c r="D404" s="38">
        <v>0.42499999999999999</v>
      </c>
      <c r="E404" s="38">
        <v>0.88</v>
      </c>
    </row>
    <row r="405" spans="1:5">
      <c r="A405" s="55" t="s">
        <v>1175</v>
      </c>
      <c r="B405" s="38">
        <v>0.26800000000000002</v>
      </c>
      <c r="C405" s="38">
        <v>0.28499999999999998</v>
      </c>
      <c r="D405" s="38">
        <v>0.432</v>
      </c>
      <c r="E405" s="38">
        <v>0.9</v>
      </c>
    </row>
    <row r="406" spans="1:5">
      <c r="A406" s="55" t="s">
        <v>1176</v>
      </c>
      <c r="B406" s="38">
        <v>0.27400000000000002</v>
      </c>
      <c r="C406" s="38">
        <v>0.28999999999999998</v>
      </c>
      <c r="D406" s="38">
        <v>0.441</v>
      </c>
      <c r="E406" s="38">
        <v>0.93300000000000005</v>
      </c>
    </row>
    <row r="407" spans="1:5">
      <c r="A407" s="55" t="s">
        <v>1177</v>
      </c>
      <c r="B407" s="38">
        <v>0.27100000000000002</v>
      </c>
      <c r="C407" s="38">
        <v>0.28599999999999998</v>
      </c>
      <c r="D407" s="38">
        <v>0.42699999999999999</v>
      </c>
      <c r="E407" s="38">
        <v>0.89</v>
      </c>
    </row>
    <row r="408" spans="1:5">
      <c r="A408" s="55" t="s">
        <v>1178</v>
      </c>
      <c r="B408" s="38">
        <v>0.27500000000000002</v>
      </c>
      <c r="C408" s="38">
        <v>0.28100000000000003</v>
      </c>
      <c r="D408" s="38">
        <v>0.42</v>
      </c>
      <c r="E408" s="38">
        <v>0.87</v>
      </c>
    </row>
    <row r="409" spans="1:5">
      <c r="A409" s="55" t="s">
        <v>1179</v>
      </c>
      <c r="B409" s="38">
        <v>0.28000000000000003</v>
      </c>
      <c r="C409" s="38">
        <v>0.27600000000000002</v>
      </c>
      <c r="D409" s="38">
        <v>0.41</v>
      </c>
      <c r="E409" s="38">
        <v>0.82899999999999996</v>
      </c>
    </row>
    <row r="410" spans="1:5">
      <c r="A410" s="55" t="s">
        <v>1180</v>
      </c>
      <c r="B410" s="38">
        <v>0.28100000000000003</v>
      </c>
      <c r="C410" s="38">
        <v>0.28100000000000003</v>
      </c>
      <c r="D410" s="38">
        <v>0.42199999999999999</v>
      </c>
      <c r="E410" s="38">
        <v>0.87</v>
      </c>
    </row>
    <row r="411" spans="1:5">
      <c r="A411" s="55" t="s">
        <v>1181</v>
      </c>
      <c r="B411" s="38">
        <v>0.25700000000000001</v>
      </c>
      <c r="C411" s="38">
        <v>0.26400000000000001</v>
      </c>
      <c r="D411" s="38">
        <v>0.39700000000000002</v>
      </c>
      <c r="E411" s="38">
        <v>0.84599999999999997</v>
      </c>
    </row>
    <row r="412" spans="1:5">
      <c r="A412" s="55" t="s">
        <v>1182</v>
      </c>
      <c r="B412" s="38">
        <v>0.25800000000000001</v>
      </c>
      <c r="C412" s="38">
        <v>0.26500000000000001</v>
      </c>
      <c r="D412" s="38">
        <v>0.39300000000000002</v>
      </c>
      <c r="E412" s="38">
        <v>0.83599999999999997</v>
      </c>
    </row>
    <row r="413" spans="1:5">
      <c r="A413" s="55" t="s">
        <v>1183</v>
      </c>
      <c r="B413" s="38">
        <v>0.26</v>
      </c>
      <c r="C413" s="38">
        <v>0.27</v>
      </c>
      <c r="D413" s="38">
        <v>0.40400000000000003</v>
      </c>
      <c r="E413" s="38">
        <v>0.86899999999999999</v>
      </c>
    </row>
    <row r="414" spans="1:5">
      <c r="A414" s="55" t="s">
        <v>1184</v>
      </c>
      <c r="B414" s="38">
        <v>0.25900000000000001</v>
      </c>
      <c r="C414" s="38">
        <v>0.26600000000000001</v>
      </c>
      <c r="D414" s="38">
        <v>0.39700000000000002</v>
      </c>
      <c r="E414" s="38">
        <v>0.84399999999999997</v>
      </c>
    </row>
    <row r="415" spans="1:5">
      <c r="A415" s="55" t="s">
        <v>1185</v>
      </c>
      <c r="B415" s="38">
        <v>0.26200000000000001</v>
      </c>
      <c r="C415" s="38">
        <v>0.26900000000000002</v>
      </c>
      <c r="D415" s="38">
        <v>0.40600000000000003</v>
      </c>
      <c r="E415" s="38">
        <v>0.879</v>
      </c>
    </row>
    <row r="416" spans="1:5">
      <c r="A416" s="55" t="s">
        <v>1186</v>
      </c>
      <c r="B416" s="38">
        <v>0.27</v>
      </c>
      <c r="C416" s="38">
        <v>0.27300000000000002</v>
      </c>
      <c r="D416" s="38">
        <v>0.41199999999999998</v>
      </c>
      <c r="E416" s="38">
        <v>0.88500000000000001</v>
      </c>
    </row>
    <row r="417" spans="1:5">
      <c r="A417" s="55" t="s">
        <v>1187</v>
      </c>
      <c r="B417" s="38">
        <v>0.27400000000000002</v>
      </c>
      <c r="C417" s="38">
        <v>0.26700000000000002</v>
      </c>
      <c r="D417" s="38">
        <v>0.42599999999999999</v>
      </c>
      <c r="E417" s="38">
        <v>0.93400000000000005</v>
      </c>
    </row>
    <row r="418" spans="1:5">
      <c r="A418" s="55" t="s">
        <v>1188</v>
      </c>
      <c r="B418" s="38">
        <v>0.26800000000000002</v>
      </c>
      <c r="C418" s="38">
        <v>0.26300000000000001</v>
      </c>
      <c r="D418" s="38">
        <v>0.42499999999999999</v>
      </c>
      <c r="E418" s="38">
        <v>0.90400000000000003</v>
      </c>
    </row>
    <row r="419" spans="1:5">
      <c r="A419" s="55" t="s">
        <v>1189</v>
      </c>
      <c r="B419" s="38">
        <v>0.27</v>
      </c>
      <c r="C419" s="38">
        <v>0.26700000000000002</v>
      </c>
      <c r="D419" s="38">
        <v>0.443</v>
      </c>
      <c r="E419" s="38">
        <v>0.95</v>
      </c>
    </row>
    <row r="420" spans="1:5">
      <c r="A420" s="55" t="s">
        <v>1190</v>
      </c>
      <c r="B420" s="38">
        <v>0.26900000000000002</v>
      </c>
      <c r="C420" s="38">
        <v>0.27</v>
      </c>
      <c r="D420" s="38">
        <v>0.437</v>
      </c>
      <c r="E420" s="38">
        <v>0.91600000000000004</v>
      </c>
    </row>
    <row r="421" spans="1:5">
      <c r="A421" s="55" t="s">
        <v>1191</v>
      </c>
      <c r="B421" s="38">
        <v>0.27300000000000002</v>
      </c>
      <c r="C421" s="38">
        <v>0.26800000000000002</v>
      </c>
      <c r="D421" s="38">
        <v>0.42699999999999999</v>
      </c>
      <c r="E421" s="38">
        <v>0.88700000000000001</v>
      </c>
    </row>
    <row r="422" spans="1:5">
      <c r="A422" s="55" t="s">
        <v>1192</v>
      </c>
      <c r="B422" s="38">
        <v>0.27300000000000002</v>
      </c>
      <c r="C422" s="38">
        <v>0.26800000000000002</v>
      </c>
      <c r="D422" s="38">
        <v>0.42399999999999999</v>
      </c>
      <c r="E422" s="38">
        <v>0.88200000000000001</v>
      </c>
    </row>
    <row r="423" spans="1:5">
      <c r="A423" s="55" t="s">
        <v>1193</v>
      </c>
      <c r="B423" s="38">
        <v>0.26900000000000002</v>
      </c>
      <c r="C423" s="38">
        <v>0.26700000000000002</v>
      </c>
      <c r="D423" s="38">
        <v>0.42299999999999999</v>
      </c>
      <c r="E423" s="38">
        <v>0.873</v>
      </c>
    </row>
    <row r="424" spans="1:5">
      <c r="A424" s="55" t="s">
        <v>1194</v>
      </c>
      <c r="B424" s="38">
        <v>0.27</v>
      </c>
      <c r="C424" s="38">
        <v>0.26700000000000002</v>
      </c>
      <c r="D424" s="38">
        <v>0.42599999999999999</v>
      </c>
      <c r="E424" s="38">
        <v>0.89800000000000002</v>
      </c>
    </row>
    <row r="425" spans="1:5">
      <c r="A425" s="55" t="s">
        <v>1195</v>
      </c>
      <c r="B425" s="38">
        <v>0.27200000000000002</v>
      </c>
      <c r="C425" s="38">
        <v>0.26800000000000002</v>
      </c>
      <c r="D425" s="38">
        <v>0.42299999999999999</v>
      </c>
      <c r="E425" s="38">
        <v>0.874</v>
      </c>
    </row>
    <row r="426" spans="1:5">
      <c r="A426" s="55" t="s">
        <v>1196</v>
      </c>
      <c r="B426" s="38">
        <v>0.26700000000000002</v>
      </c>
      <c r="C426" s="38">
        <v>0.26800000000000002</v>
      </c>
      <c r="D426" s="38">
        <v>0.43</v>
      </c>
      <c r="E426" s="38">
        <v>0.90500000000000003</v>
      </c>
    </row>
    <row r="427" spans="1:5">
      <c r="A427" s="55" t="s">
        <v>1197</v>
      </c>
      <c r="B427" s="38">
        <v>0.27</v>
      </c>
      <c r="C427" s="38">
        <v>0.28100000000000003</v>
      </c>
      <c r="D427" s="38">
        <v>0.44800000000000001</v>
      </c>
      <c r="E427" s="38">
        <v>0.97</v>
      </c>
    </row>
    <row r="428" spans="1:5">
      <c r="A428" s="55" t="s">
        <v>1198</v>
      </c>
      <c r="B428" s="38">
        <v>0.26700000000000002</v>
      </c>
      <c r="C428" s="38">
        <v>0.27500000000000002</v>
      </c>
      <c r="D428" s="38">
        <v>0.436</v>
      </c>
      <c r="E428" s="38">
        <v>0.93500000000000005</v>
      </c>
    </row>
    <row r="429" spans="1:5">
      <c r="A429" s="55" t="s">
        <v>1199</v>
      </c>
      <c r="B429" s="38">
        <v>0.27400000000000002</v>
      </c>
      <c r="C429" s="38">
        <v>0.28000000000000003</v>
      </c>
      <c r="D429" s="38">
        <v>0.46500000000000002</v>
      </c>
      <c r="E429" s="38">
        <v>1.04</v>
      </c>
    </row>
    <row r="430" spans="1:5">
      <c r="A430" s="55" t="s">
        <v>1200</v>
      </c>
      <c r="B430" s="38">
        <v>0.27700000000000002</v>
      </c>
      <c r="C430" s="38">
        <v>0.27600000000000002</v>
      </c>
      <c r="D430" s="38">
        <v>0.45900000000000002</v>
      </c>
      <c r="E430" s="38">
        <v>1.0009999999999999</v>
      </c>
    </row>
    <row r="431" spans="1:5">
      <c r="A431" s="55" t="s">
        <v>1201</v>
      </c>
      <c r="B431" s="38">
        <v>0.27300000000000002</v>
      </c>
      <c r="C431" s="38">
        <v>0.27100000000000002</v>
      </c>
      <c r="D431" s="38">
        <v>0.45300000000000001</v>
      </c>
      <c r="E431" s="38">
        <v>0.99199999999999999</v>
      </c>
    </row>
    <row r="432" spans="1:5">
      <c r="A432" s="55" t="s">
        <v>1202</v>
      </c>
      <c r="B432" s="38">
        <v>0.27200000000000002</v>
      </c>
      <c r="C432" s="38">
        <v>0.26600000000000001</v>
      </c>
      <c r="D432" s="38">
        <v>0.44400000000000001</v>
      </c>
      <c r="E432" s="38">
        <v>0.95399999999999996</v>
      </c>
    </row>
    <row r="433" spans="1:5">
      <c r="A433" s="55" t="s">
        <v>1203</v>
      </c>
      <c r="B433" s="38">
        <v>0.26900000000000002</v>
      </c>
      <c r="C433" s="38">
        <v>0.26500000000000001</v>
      </c>
      <c r="D433" s="38">
        <v>0.43</v>
      </c>
      <c r="E433" s="38">
        <v>0.92900000000000005</v>
      </c>
    </row>
    <row r="434" spans="1:5">
      <c r="A434" s="55" t="s">
        <v>1204</v>
      </c>
      <c r="B434" s="38">
        <v>0.27200000000000002</v>
      </c>
      <c r="C434" s="38">
        <v>0.26400000000000001</v>
      </c>
      <c r="D434" s="38">
        <v>0.42199999999999999</v>
      </c>
      <c r="E434" s="38">
        <v>0.91</v>
      </c>
    </row>
    <row r="435" spans="1:5">
      <c r="A435" s="55" t="s">
        <v>1205</v>
      </c>
      <c r="B435" s="38">
        <v>0.27400000000000002</v>
      </c>
      <c r="C435" s="38">
        <v>0.27200000000000002</v>
      </c>
      <c r="D435" s="38">
        <v>0.443</v>
      </c>
      <c r="E435" s="38">
        <v>0.99099999999999999</v>
      </c>
    </row>
    <row r="436" spans="1:5">
      <c r="A436" s="55" t="s">
        <v>1206</v>
      </c>
      <c r="B436" s="38">
        <v>0.27500000000000002</v>
      </c>
      <c r="C436" s="38">
        <v>0.27200000000000002</v>
      </c>
      <c r="D436" s="38">
        <v>0.44500000000000001</v>
      </c>
      <c r="E436" s="38">
        <v>0.99299999999999999</v>
      </c>
    </row>
    <row r="437" spans="1:5">
      <c r="A437" s="55" t="s">
        <v>1207</v>
      </c>
      <c r="B437" s="38">
        <v>0.25900000000000001</v>
      </c>
      <c r="C437" s="38">
        <v>0.255</v>
      </c>
      <c r="D437" s="38">
        <v>0.42399999999999999</v>
      </c>
      <c r="E437" s="38">
        <v>0.91500000000000004</v>
      </c>
    </row>
    <row r="438" spans="1:5">
      <c r="A438" s="55" t="s">
        <v>1208</v>
      </c>
      <c r="B438" s="38">
        <v>0.25600000000000001</v>
      </c>
      <c r="C438" s="38">
        <v>0.255</v>
      </c>
      <c r="D438" s="38">
        <v>0.43</v>
      </c>
      <c r="E438" s="38">
        <v>0.95499999999999996</v>
      </c>
    </row>
    <row r="439" spans="1:5">
      <c r="A439" s="55" t="s">
        <v>1209</v>
      </c>
      <c r="B439" s="38">
        <v>0.254</v>
      </c>
      <c r="C439" s="38">
        <v>0.25600000000000001</v>
      </c>
      <c r="D439" s="38">
        <v>0.42499999999999999</v>
      </c>
      <c r="E439" s="38">
        <v>0.93400000000000005</v>
      </c>
    </row>
    <row r="440" spans="1:5">
      <c r="A440" s="55" t="s">
        <v>1210</v>
      </c>
      <c r="B440" s="38">
        <v>0.24</v>
      </c>
      <c r="C440" s="38">
        <v>0.24299999999999999</v>
      </c>
      <c r="D440" s="38">
        <v>0.39800000000000002</v>
      </c>
      <c r="E440" s="38">
        <v>0.89100000000000001</v>
      </c>
    </row>
    <row r="441" spans="1:5">
      <c r="A441" s="55" t="s">
        <v>1211</v>
      </c>
      <c r="B441" s="38">
        <v>0.22500000000000001</v>
      </c>
      <c r="C441" s="38">
        <v>0.23799999999999999</v>
      </c>
      <c r="D441" s="38">
        <v>0.38400000000000001</v>
      </c>
      <c r="E441" s="38">
        <v>0.88900000000000001</v>
      </c>
    </row>
    <row r="442" spans="1:5">
      <c r="A442" s="55" t="s">
        <v>1212</v>
      </c>
      <c r="B442" s="38">
        <v>0.219</v>
      </c>
      <c r="C442" s="38">
        <v>0.23400000000000001</v>
      </c>
      <c r="D442" s="38">
        <v>0.379</v>
      </c>
      <c r="E442" s="38">
        <v>0.88900000000000001</v>
      </c>
    </row>
    <row r="443" spans="1:5">
      <c r="A443" s="55" t="s">
        <v>1213</v>
      </c>
      <c r="B443" s="38">
        <v>0.20899999999999999</v>
      </c>
      <c r="C443" s="38">
        <v>0.22700000000000001</v>
      </c>
      <c r="D443" s="38">
        <v>0.377</v>
      </c>
      <c r="E443" s="38">
        <v>0.86899999999999999</v>
      </c>
    </row>
    <row r="444" spans="1:5">
      <c r="A444" s="55" t="s">
        <v>1214</v>
      </c>
      <c r="B444" s="38">
        <v>0.21199999999999999</v>
      </c>
      <c r="C444" s="38">
        <v>0.24299999999999999</v>
      </c>
      <c r="D444" s="38">
        <v>0.40899999999999997</v>
      </c>
      <c r="E444" s="38">
        <v>0.91300000000000003</v>
      </c>
    </row>
    <row r="445" spans="1:5">
      <c r="A445" s="55" t="s">
        <v>1215</v>
      </c>
      <c r="B445" s="38">
        <v>0.21299999999999999</v>
      </c>
      <c r="C445" s="38">
        <v>0.23699999999999999</v>
      </c>
      <c r="D445" s="38">
        <v>0.40400000000000003</v>
      </c>
      <c r="E445" s="38">
        <v>0.879</v>
      </c>
    </row>
    <row r="446" spans="1:5">
      <c r="A446" s="55" t="s">
        <v>1216</v>
      </c>
      <c r="B446" s="38">
        <v>0.21</v>
      </c>
      <c r="C446" s="38">
        <v>0.219</v>
      </c>
      <c r="D446" s="38">
        <v>0.38200000000000001</v>
      </c>
      <c r="E446" s="38">
        <v>0.85599999999999998</v>
      </c>
    </row>
    <row r="447" spans="1:5">
      <c r="A447" s="55" t="s">
        <v>1217</v>
      </c>
      <c r="B447" s="38">
        <v>0.16200000000000001</v>
      </c>
      <c r="C447" s="38">
        <v>0.189</v>
      </c>
      <c r="D447" s="38">
        <v>0.34799999999999998</v>
      </c>
      <c r="E447" s="38">
        <v>0.83199999999999996</v>
      </c>
    </row>
    <row r="448" spans="1:5">
      <c r="A448" s="55" t="s">
        <v>1218</v>
      </c>
      <c r="B448" s="38">
        <v>0.16500000000000001</v>
      </c>
      <c r="C448" s="38">
        <v>0.17399999999999999</v>
      </c>
      <c r="D448" s="38">
        <v>0.33500000000000002</v>
      </c>
      <c r="E448" s="38">
        <v>0.83199999999999996</v>
      </c>
    </row>
    <row r="449" spans="1:5">
      <c r="A449" s="55" t="s">
        <v>1219</v>
      </c>
      <c r="B449" s="38">
        <v>0.16800000000000001</v>
      </c>
      <c r="C449" s="38">
        <v>0.17399999999999999</v>
      </c>
      <c r="D449" s="38">
        <v>0.33400000000000002</v>
      </c>
      <c r="E449" s="38">
        <v>0.82599999999999996</v>
      </c>
    </row>
    <row r="450" spans="1:5">
      <c r="A450" s="55" t="s">
        <v>1220</v>
      </c>
      <c r="B450" s="38">
        <v>0.16500000000000001</v>
      </c>
      <c r="C450" s="38">
        <v>0.16300000000000001</v>
      </c>
      <c r="D450" s="38">
        <v>0.31900000000000001</v>
      </c>
      <c r="E450" s="38">
        <v>0.80200000000000005</v>
      </c>
    </row>
    <row r="451" spans="1:5">
      <c r="A451" s="55" t="s">
        <v>1221</v>
      </c>
      <c r="B451" s="38">
        <v>0.17</v>
      </c>
      <c r="C451" s="38">
        <v>0.16800000000000001</v>
      </c>
      <c r="D451" s="38">
        <v>0.32500000000000001</v>
      </c>
      <c r="E451" s="38">
        <v>0.80700000000000005</v>
      </c>
    </row>
    <row r="452" spans="1:5">
      <c r="A452" s="55" t="s">
        <v>1222</v>
      </c>
      <c r="B452" s="38">
        <v>0.17199999999999999</v>
      </c>
      <c r="C452" s="38">
        <v>0.17199999999999999</v>
      </c>
      <c r="D452" s="38">
        <v>0.33</v>
      </c>
      <c r="E452" s="38">
        <v>0.81599999999999995</v>
      </c>
    </row>
    <row r="453" spans="1:5">
      <c r="A453" s="55" t="s">
        <v>1223</v>
      </c>
      <c r="B453" s="38">
        <v>0.17599999999999999</v>
      </c>
      <c r="C453" s="38">
        <v>0.19</v>
      </c>
      <c r="D453" s="38">
        <v>0.35299999999999998</v>
      </c>
      <c r="E453" s="38">
        <v>0.876</v>
      </c>
    </row>
    <row r="454" spans="1:5">
      <c r="A454" s="55" t="s">
        <v>1224</v>
      </c>
      <c r="B454" s="38">
        <v>0.17499999999999999</v>
      </c>
      <c r="C454" s="38">
        <v>0.17499999999999999</v>
      </c>
      <c r="D454" s="38">
        <v>0.32500000000000001</v>
      </c>
      <c r="E454" s="38">
        <v>0.81200000000000006</v>
      </c>
    </row>
    <row r="455" spans="1:5">
      <c r="A455" s="55" t="s">
        <v>1225</v>
      </c>
      <c r="B455" s="38">
        <v>0.184</v>
      </c>
      <c r="C455" s="38">
        <v>0.16900000000000001</v>
      </c>
      <c r="D455" s="38">
        <v>0.32900000000000001</v>
      </c>
      <c r="E455" s="38">
        <v>0.86199999999999999</v>
      </c>
    </row>
    <row r="456" spans="1:5">
      <c r="A456" s="55" t="s">
        <v>1226</v>
      </c>
      <c r="B456" s="38">
        <v>0.14599999999999999</v>
      </c>
      <c r="C456" s="38">
        <v>0.14199999999999999</v>
      </c>
      <c r="D456" s="38">
        <v>0.29099999999999998</v>
      </c>
      <c r="E456" s="38">
        <v>0.82199999999999995</v>
      </c>
    </row>
    <row r="457" spans="1:5">
      <c r="A457" s="55" t="s">
        <v>1227</v>
      </c>
      <c r="B457" s="38">
        <v>0.155</v>
      </c>
      <c r="C457" s="38">
        <v>0.14399999999999999</v>
      </c>
      <c r="D457" s="38">
        <v>0.29899999999999999</v>
      </c>
      <c r="E457" s="38">
        <v>0.84699999999999998</v>
      </c>
    </row>
    <row r="458" spans="1:5">
      <c r="A458" s="55" t="s">
        <v>1228</v>
      </c>
      <c r="B458" s="38">
        <v>0.155</v>
      </c>
      <c r="C458" s="38">
        <v>0.14399999999999999</v>
      </c>
      <c r="D458" s="38">
        <v>0.29399999999999998</v>
      </c>
      <c r="E458" s="38">
        <v>0.83299999999999996</v>
      </c>
    </row>
    <row r="459" spans="1:5">
      <c r="A459" s="55" t="s">
        <v>1229</v>
      </c>
      <c r="B459" s="38">
        <v>0.15</v>
      </c>
      <c r="C459" s="38">
        <v>0.14499999999999999</v>
      </c>
      <c r="D459" s="38">
        <v>0.29399999999999998</v>
      </c>
      <c r="E459" s="38">
        <v>0.82899999999999996</v>
      </c>
    </row>
    <row r="460" spans="1:5">
      <c r="A460" s="55" t="s">
        <v>1230</v>
      </c>
      <c r="B460" s="38">
        <v>0.14899999999999999</v>
      </c>
      <c r="C460" s="38">
        <v>0.14499999999999999</v>
      </c>
      <c r="D460" s="38">
        <v>0.29299999999999998</v>
      </c>
      <c r="E460" s="38">
        <v>0.83</v>
      </c>
    </row>
    <row r="461" spans="1:5">
      <c r="A461" s="55" t="s">
        <v>1231</v>
      </c>
      <c r="B461" s="38">
        <v>0.154</v>
      </c>
      <c r="C461" s="38">
        <v>0.151</v>
      </c>
      <c r="D461" s="38">
        <v>0.29699999999999999</v>
      </c>
      <c r="E461" s="38">
        <v>0.82</v>
      </c>
    </row>
    <row r="462" spans="1:5">
      <c r="A462" s="55" t="s">
        <v>1232</v>
      </c>
      <c r="B462" s="38">
        <v>0.14000000000000001</v>
      </c>
      <c r="C462" s="38">
        <v>0.14099999999999999</v>
      </c>
      <c r="D462" s="38">
        <v>0.27900000000000003</v>
      </c>
      <c r="E462" s="38">
        <v>0.745</v>
      </c>
    </row>
    <row r="463" spans="1:5">
      <c r="A463" s="55" t="s">
        <v>1233</v>
      </c>
      <c r="B463" s="38">
        <v>0.14299999999999999</v>
      </c>
      <c r="C463" s="38">
        <v>0.129</v>
      </c>
      <c r="D463" s="38">
        <v>0.26500000000000001</v>
      </c>
      <c r="E463" s="38">
        <v>0.70499999999999996</v>
      </c>
    </row>
    <row r="464" spans="1:5">
      <c r="A464" s="55" t="s">
        <v>1234</v>
      </c>
      <c r="B464" s="38">
        <v>0.14599999999999999</v>
      </c>
      <c r="C464" s="38">
        <v>0.13700000000000001</v>
      </c>
      <c r="D464" s="38">
        <v>0.28100000000000003</v>
      </c>
      <c r="E464" s="38">
        <v>0.73499999999999999</v>
      </c>
    </row>
    <row r="465" spans="1:5">
      <c r="A465" s="55" t="s">
        <v>1235</v>
      </c>
      <c r="B465" s="38">
        <v>0.129</v>
      </c>
      <c r="C465" s="38">
        <v>0.13200000000000001</v>
      </c>
      <c r="D465" s="38">
        <v>0.27400000000000002</v>
      </c>
      <c r="E465" s="38">
        <v>0.74099999999999999</v>
      </c>
    </row>
    <row r="466" spans="1:5">
      <c r="A466" s="55" t="s">
        <v>1236</v>
      </c>
      <c r="B466" s="38">
        <v>0.125</v>
      </c>
      <c r="C466" s="38">
        <v>0.13600000000000001</v>
      </c>
      <c r="D466" s="38">
        <v>0.28399999999999997</v>
      </c>
      <c r="E466" s="38">
        <v>0.78500000000000003</v>
      </c>
    </row>
    <row r="467" spans="1:5">
      <c r="A467" s="55" t="s">
        <v>1237</v>
      </c>
      <c r="B467" s="38">
        <v>0.124</v>
      </c>
      <c r="C467" s="38">
        <v>0.13200000000000001</v>
      </c>
      <c r="D467" s="38">
        <v>0.28199999999999997</v>
      </c>
      <c r="E467" s="38">
        <v>0.79500000000000004</v>
      </c>
    </row>
    <row r="468" spans="1:5">
      <c r="A468" s="55" t="s">
        <v>1238</v>
      </c>
      <c r="B468" s="38">
        <v>0.128</v>
      </c>
      <c r="C468" s="38">
        <v>0.13600000000000001</v>
      </c>
      <c r="D468" s="38">
        <v>0.28899999999999998</v>
      </c>
      <c r="E468" s="38">
        <v>0.84</v>
      </c>
    </row>
    <row r="469" spans="1:5">
      <c r="A469" s="55" t="s">
        <v>1239</v>
      </c>
      <c r="B469" s="38">
        <v>0.112</v>
      </c>
      <c r="C469" s="38">
        <v>0.13</v>
      </c>
      <c r="D469" s="38">
        <v>0.28000000000000003</v>
      </c>
      <c r="E469" s="38">
        <v>0.79200000000000004</v>
      </c>
    </row>
    <row r="470" spans="1:5">
      <c r="A470" s="55" t="s">
        <v>1240</v>
      </c>
      <c r="B470" s="38">
        <v>0.114</v>
      </c>
      <c r="C470" s="38">
        <v>0.123</v>
      </c>
      <c r="D470" s="38">
        <v>0.27300000000000002</v>
      </c>
      <c r="E470" s="38">
        <v>0.78800000000000003</v>
      </c>
    </row>
    <row r="471" spans="1:5">
      <c r="A471" s="55" t="s">
        <v>1241</v>
      </c>
      <c r="B471" s="38">
        <v>0.109</v>
      </c>
      <c r="C471" s="38">
        <v>0.13100000000000001</v>
      </c>
      <c r="D471" s="38">
        <v>0.27200000000000002</v>
      </c>
      <c r="E471" s="38">
        <v>0.76900000000000002</v>
      </c>
    </row>
    <row r="472" spans="1:5">
      <c r="A472" s="55" t="s">
        <v>1242</v>
      </c>
      <c r="B472" s="38">
        <v>0.111</v>
      </c>
      <c r="C472" s="38">
        <v>0.13</v>
      </c>
      <c r="D472" s="38">
        <v>0.27400000000000002</v>
      </c>
      <c r="E472" s="38">
        <v>0.79800000000000004</v>
      </c>
    </row>
    <row r="473" spans="1:5">
      <c r="A473" s="55" t="s">
        <v>1243</v>
      </c>
      <c r="B473" s="38">
        <v>0.109</v>
      </c>
      <c r="C473" s="38">
        <v>0.13</v>
      </c>
      <c r="D473" s="38">
        <v>0.27500000000000002</v>
      </c>
      <c r="E473" s="38">
        <v>0.81299999999999994</v>
      </c>
    </row>
    <row r="474" spans="1:5">
      <c r="A474" s="55" t="s">
        <v>1244</v>
      </c>
      <c r="B474" s="38">
        <v>0.113</v>
      </c>
      <c r="C474" s="38">
        <v>0.128</v>
      </c>
      <c r="D474" s="38">
        <v>0.27300000000000002</v>
      </c>
      <c r="E474" s="38">
        <v>0.80900000000000005</v>
      </c>
    </row>
    <row r="475" spans="1:5">
      <c r="A475" s="55" t="s">
        <v>1245</v>
      </c>
      <c r="B475" s="38">
        <v>9.2999999999999999E-2</v>
      </c>
      <c r="C475" s="38">
        <v>0.105</v>
      </c>
      <c r="D475" s="38">
        <v>0.245</v>
      </c>
      <c r="E475" s="38">
        <v>0.75800000000000001</v>
      </c>
    </row>
    <row r="476" spans="1:5">
      <c r="A476" s="55" t="s">
        <v>1246</v>
      </c>
      <c r="B476" s="38">
        <v>0.108</v>
      </c>
      <c r="C476" s="38">
        <v>0.111</v>
      </c>
      <c r="D476" s="38">
        <v>0.25700000000000001</v>
      </c>
      <c r="E476" s="38">
        <v>0.77900000000000003</v>
      </c>
    </row>
    <row r="477" spans="1:5">
      <c r="A477" s="55" t="s">
        <v>1247</v>
      </c>
      <c r="B477" s="38">
        <v>9.7000000000000003E-2</v>
      </c>
      <c r="C477" s="38">
        <v>0.113</v>
      </c>
      <c r="D477" s="38">
        <v>0.247</v>
      </c>
      <c r="E477" s="38">
        <v>0.72899999999999998</v>
      </c>
    </row>
    <row r="478" spans="1:5">
      <c r="A478" s="55" t="s">
        <v>1248</v>
      </c>
      <c r="B478" s="38">
        <v>9.6000000000000002E-2</v>
      </c>
      <c r="C478" s="38">
        <v>0.11700000000000001</v>
      </c>
      <c r="D478" s="38">
        <v>0.253</v>
      </c>
      <c r="E478" s="38">
        <v>0.74099999999999999</v>
      </c>
    </row>
    <row r="479" spans="1:5">
      <c r="A479" s="55" t="s">
        <v>1249</v>
      </c>
      <c r="B479" s="38">
        <v>9.4E-2</v>
      </c>
      <c r="C479" s="38">
        <v>0.109</v>
      </c>
      <c r="D479" s="38">
        <v>0.25</v>
      </c>
      <c r="E479" s="38">
        <v>0.75700000000000001</v>
      </c>
    </row>
    <row r="480" spans="1:5">
      <c r="A480" s="55" t="s">
        <v>1250</v>
      </c>
      <c r="B480" s="38">
        <v>9.9000000000000005E-2</v>
      </c>
      <c r="C480" s="38">
        <v>0.11799999999999999</v>
      </c>
      <c r="D480" s="38">
        <v>0.30099999999999999</v>
      </c>
      <c r="E480" s="38">
        <v>0.90700000000000003</v>
      </c>
    </row>
    <row r="481" spans="1:5">
      <c r="A481" s="55" t="s">
        <v>1251</v>
      </c>
      <c r="B481" s="38">
        <v>0.1</v>
      </c>
      <c r="C481" s="38">
        <v>0.124</v>
      </c>
      <c r="D481" s="38">
        <v>0.33</v>
      </c>
      <c r="E481" s="38">
        <v>0.98099999999999998</v>
      </c>
    </row>
    <row r="482" spans="1:5">
      <c r="A482" s="55" t="s">
        <v>1252</v>
      </c>
      <c r="B482" s="38">
        <v>9.7000000000000003E-2</v>
      </c>
      <c r="C482" s="38">
        <v>0.109</v>
      </c>
      <c r="D482" s="38">
        <v>0.3</v>
      </c>
      <c r="E482" s="38">
        <v>0.90200000000000002</v>
      </c>
    </row>
    <row r="483" spans="1:5">
      <c r="A483" s="55" t="s">
        <v>1253</v>
      </c>
      <c r="B483" s="38">
        <v>0.10199999999999999</v>
      </c>
      <c r="C483" s="38">
        <v>0.11700000000000001</v>
      </c>
      <c r="D483" s="38">
        <v>0.30099999999999999</v>
      </c>
      <c r="E483" s="38">
        <v>0.86899999999999999</v>
      </c>
    </row>
    <row r="484" spans="1:5">
      <c r="A484" s="55" t="s">
        <v>1254</v>
      </c>
      <c r="B484" s="38">
        <v>9.9000000000000005E-2</v>
      </c>
      <c r="C484" s="38">
        <v>0.106</v>
      </c>
      <c r="D484" s="38">
        <v>0.3</v>
      </c>
      <c r="E484" s="38">
        <v>0.879</v>
      </c>
    </row>
    <row r="485" spans="1:5">
      <c r="A485" s="55" t="s">
        <v>1255</v>
      </c>
      <c r="B485" s="38">
        <v>9.7000000000000003E-2</v>
      </c>
      <c r="C485" s="38">
        <v>0.111</v>
      </c>
      <c r="D485" s="38">
        <v>0.315</v>
      </c>
      <c r="E485" s="38">
        <v>0.94499999999999995</v>
      </c>
    </row>
    <row r="486" spans="1:5">
      <c r="A486" s="55" t="s">
        <v>1256</v>
      </c>
      <c r="B486" s="38">
        <v>9.5000000000000001E-2</v>
      </c>
      <c r="C486" s="38">
        <v>0.108</v>
      </c>
      <c r="D486" s="38">
        <v>0.29699999999999999</v>
      </c>
      <c r="E486" s="38">
        <v>0.875</v>
      </c>
    </row>
    <row r="487" spans="1:5">
      <c r="A487" s="55" t="s">
        <v>1257</v>
      </c>
      <c r="B487" s="38">
        <v>9.5000000000000001E-2</v>
      </c>
      <c r="C487" s="38">
        <v>0.108</v>
      </c>
      <c r="D487" s="38">
        <v>0.29699999999999999</v>
      </c>
      <c r="E487" s="38">
        <v>0.875</v>
      </c>
    </row>
    <row r="488" spans="1:5">
      <c r="A488" s="55" t="s">
        <v>1258</v>
      </c>
      <c r="B488" s="38">
        <v>9.7000000000000003E-2</v>
      </c>
      <c r="C488" s="38">
        <v>0.107</v>
      </c>
      <c r="D488" s="38">
        <v>0.28699999999999998</v>
      </c>
      <c r="E488" s="38">
        <v>0.85099999999999998</v>
      </c>
    </row>
    <row r="489" spans="1:5">
      <c r="A489" s="55" t="s">
        <v>1259</v>
      </c>
      <c r="B489" s="38">
        <v>9.1999999999999998E-2</v>
      </c>
      <c r="C489" s="38">
        <v>0.106</v>
      </c>
      <c r="D489" s="38">
        <v>0.28000000000000003</v>
      </c>
      <c r="E489" s="38">
        <v>0.83599999999999997</v>
      </c>
    </row>
    <row r="490" spans="1:5">
      <c r="A490" s="55" t="s">
        <v>1260</v>
      </c>
      <c r="B490" s="38">
        <v>9.2999999999999999E-2</v>
      </c>
      <c r="C490" s="38">
        <v>0.11</v>
      </c>
      <c r="D490" s="38">
        <v>0.29199999999999998</v>
      </c>
      <c r="E490" s="38">
        <v>0.88200000000000001</v>
      </c>
    </row>
    <row r="491" spans="1:5">
      <c r="A491" s="55" t="s">
        <v>1261</v>
      </c>
      <c r="B491" s="38">
        <v>9.2999999999999999E-2</v>
      </c>
      <c r="C491" s="38">
        <v>0.112</v>
      </c>
      <c r="D491" s="38">
        <v>0.30199999999999999</v>
      </c>
      <c r="E491" s="38">
        <v>0.92200000000000004</v>
      </c>
    </row>
    <row r="492" spans="1:5">
      <c r="A492" s="55" t="s">
        <v>1262</v>
      </c>
      <c r="B492" s="38">
        <v>8.8999999999999996E-2</v>
      </c>
      <c r="C492" s="38">
        <v>0.108</v>
      </c>
      <c r="D492" s="38">
        <v>0.29499999999999998</v>
      </c>
      <c r="E492" s="38">
        <v>0.90200000000000002</v>
      </c>
    </row>
    <row r="493" spans="1:5">
      <c r="A493" s="55" t="s">
        <v>1263</v>
      </c>
      <c r="B493" s="38">
        <v>8.7999999999999995E-2</v>
      </c>
      <c r="C493" s="38">
        <v>0.107</v>
      </c>
      <c r="D493" s="38">
        <v>0.29299999999999998</v>
      </c>
      <c r="E493" s="38">
        <v>0.89300000000000002</v>
      </c>
    </row>
    <row r="494" spans="1:5">
      <c r="A494" s="55" t="s">
        <v>1264</v>
      </c>
      <c r="B494" s="38">
        <v>8.8999999999999996E-2</v>
      </c>
      <c r="C494" s="38">
        <v>0.11</v>
      </c>
      <c r="D494" s="38">
        <v>0.29699999999999999</v>
      </c>
      <c r="E494" s="38">
        <v>0.88900000000000001</v>
      </c>
    </row>
    <row r="495" spans="1:5">
      <c r="A495" s="55" t="s">
        <v>1265</v>
      </c>
      <c r="B495" s="38">
        <v>9.4E-2</v>
      </c>
      <c r="C495" s="38">
        <v>0.114</v>
      </c>
      <c r="D495" s="38">
        <v>0.30399999999999999</v>
      </c>
      <c r="E495" s="38">
        <v>0.90900000000000003</v>
      </c>
    </row>
    <row r="496" spans="1:5">
      <c r="A496" s="55" t="s">
        <v>1266</v>
      </c>
      <c r="B496" s="38">
        <v>9.8000000000000004E-2</v>
      </c>
      <c r="C496" s="38">
        <v>0.11899999999999999</v>
      </c>
      <c r="D496" s="38">
        <v>0.32400000000000001</v>
      </c>
      <c r="E496" s="38">
        <v>0.97399999999999998</v>
      </c>
    </row>
    <row r="497" spans="1:5">
      <c r="A497" s="55" t="s">
        <v>1267</v>
      </c>
      <c r="B497" s="38">
        <v>0.1</v>
      </c>
      <c r="C497" s="38">
        <v>0.11600000000000001</v>
      </c>
      <c r="D497" s="38">
        <v>0.33500000000000002</v>
      </c>
      <c r="E497" s="38">
        <v>1.008</v>
      </c>
    </row>
    <row r="498" spans="1:5">
      <c r="A498" s="55" t="s">
        <v>1268</v>
      </c>
      <c r="B498" s="38">
        <v>0.1</v>
      </c>
      <c r="C498" s="38">
        <v>0.11600000000000001</v>
      </c>
      <c r="D498" s="38">
        <v>0.33400000000000002</v>
      </c>
      <c r="E498" s="38">
        <v>0.98399999999999999</v>
      </c>
    </row>
    <row r="499" spans="1:5">
      <c r="A499" s="55" t="s">
        <v>1269</v>
      </c>
      <c r="B499" s="38">
        <v>0.1</v>
      </c>
      <c r="C499" s="38">
        <v>0.114</v>
      </c>
      <c r="D499" s="38">
        <v>0.34200000000000003</v>
      </c>
      <c r="E499" s="38">
        <v>1.03</v>
      </c>
    </row>
    <row r="500" spans="1:5">
      <c r="A500" s="55" t="s">
        <v>1270</v>
      </c>
      <c r="B500" s="38">
        <v>9.9000000000000005E-2</v>
      </c>
      <c r="C500" s="38">
        <v>0.114</v>
      </c>
      <c r="D500" s="38">
        <v>0.33800000000000002</v>
      </c>
      <c r="E500" s="38">
        <v>1.0169999999999999</v>
      </c>
    </row>
    <row r="501" spans="1:5">
      <c r="A501" s="55" t="s">
        <v>1271</v>
      </c>
      <c r="B501" s="38">
        <v>9.7000000000000003E-2</v>
      </c>
      <c r="C501" s="38">
        <v>0.126</v>
      </c>
      <c r="D501" s="38">
        <v>0.34</v>
      </c>
      <c r="E501" s="38">
        <v>1.02</v>
      </c>
    </row>
    <row r="502" spans="1:5">
      <c r="A502" s="55" t="s">
        <v>1272</v>
      </c>
      <c r="B502" s="38">
        <v>8.6999999999999994E-2</v>
      </c>
      <c r="C502" s="38">
        <v>0.105</v>
      </c>
      <c r="D502" s="38">
        <v>0.33400000000000002</v>
      </c>
      <c r="E502" s="38">
        <v>0.98199999999999998</v>
      </c>
    </row>
    <row r="503" spans="1:5">
      <c r="A503" s="55" t="s">
        <v>1273</v>
      </c>
      <c r="B503" s="38">
        <v>0.09</v>
      </c>
      <c r="C503" s="38">
        <v>0.105</v>
      </c>
      <c r="D503" s="38">
        <v>0.34599999999999997</v>
      </c>
      <c r="E503" s="38">
        <v>0.98199999999999998</v>
      </c>
    </row>
    <row r="504" spans="1:5">
      <c r="A504" s="55" t="s">
        <v>1274</v>
      </c>
      <c r="B504" s="38">
        <v>9.1999999999999998E-2</v>
      </c>
      <c r="C504" s="38">
        <v>0.10100000000000001</v>
      </c>
      <c r="D504" s="38">
        <v>0.33900000000000002</v>
      </c>
      <c r="E504" s="38">
        <v>0.96099999999999997</v>
      </c>
    </row>
    <row r="505" spans="1:5">
      <c r="A505" s="55" t="s">
        <v>1275</v>
      </c>
      <c r="B505" s="38">
        <v>9.1999999999999998E-2</v>
      </c>
      <c r="C505" s="38">
        <v>0.105</v>
      </c>
      <c r="D505" s="38">
        <v>0.35</v>
      </c>
      <c r="E505" s="38">
        <v>0.96099999999999997</v>
      </c>
    </row>
    <row r="506" spans="1:5">
      <c r="A506" s="55" t="s">
        <v>1276</v>
      </c>
      <c r="B506" s="38">
        <v>9.9000000000000005E-2</v>
      </c>
      <c r="C506" s="38">
        <v>0.106</v>
      </c>
      <c r="D506" s="38">
        <v>0.35</v>
      </c>
      <c r="E506" s="38">
        <v>0.95899999999999996</v>
      </c>
    </row>
    <row r="507" spans="1:5">
      <c r="A507" s="55" t="s">
        <v>1277</v>
      </c>
      <c r="B507" s="38">
        <v>0.10299999999999999</v>
      </c>
      <c r="C507" s="38">
        <v>0.106</v>
      </c>
      <c r="D507" s="38">
        <v>0.373</v>
      </c>
      <c r="E507" s="38">
        <v>0.98199999999999998</v>
      </c>
    </row>
    <row r="508" spans="1:5">
      <c r="A508" s="55" t="s">
        <v>1278</v>
      </c>
      <c r="B508" s="38">
        <v>0.104</v>
      </c>
      <c r="C508" s="38">
        <v>0.108</v>
      </c>
      <c r="D508" s="38">
        <v>0.375</v>
      </c>
      <c r="E508" s="38">
        <v>0.98399999999999999</v>
      </c>
    </row>
    <row r="509" spans="1:5">
      <c r="A509" s="55" t="s">
        <v>1279</v>
      </c>
      <c r="B509" s="38">
        <v>0.09</v>
      </c>
      <c r="C509" s="38">
        <v>0.1</v>
      </c>
      <c r="D509" s="38">
        <v>0.36099999999999999</v>
      </c>
      <c r="E509" s="38">
        <v>0.96</v>
      </c>
    </row>
    <row r="510" spans="1:5">
      <c r="A510" s="55" t="s">
        <v>1280</v>
      </c>
      <c r="B510" s="38">
        <v>8.6999999999999994E-2</v>
      </c>
      <c r="C510" s="38">
        <v>9.9000000000000005E-2</v>
      </c>
      <c r="D510" s="38">
        <v>0.34399999999999997</v>
      </c>
      <c r="E510" s="38">
        <v>0.95</v>
      </c>
    </row>
    <row r="511" spans="1:5">
      <c r="A511" s="55" t="s">
        <v>1281</v>
      </c>
      <c r="B511" s="38">
        <v>8.5999999999999993E-2</v>
      </c>
      <c r="C511" s="38">
        <v>0.10100000000000001</v>
      </c>
      <c r="D511" s="38">
        <v>0.33600000000000002</v>
      </c>
      <c r="E511" s="38">
        <v>0.92700000000000005</v>
      </c>
    </row>
    <row r="512" spans="1:5">
      <c r="A512" s="55" t="s">
        <v>1282</v>
      </c>
      <c r="B512" s="38">
        <v>8.1000000000000003E-2</v>
      </c>
      <c r="C512" s="38">
        <v>0.1</v>
      </c>
      <c r="D512" s="38">
        <v>0.35399999999999998</v>
      </c>
      <c r="E512" s="38">
        <v>0.99199999999999999</v>
      </c>
    </row>
    <row r="513" spans="1:5">
      <c r="A513" s="55" t="s">
        <v>1283</v>
      </c>
      <c r="B513" s="38">
        <v>0.08</v>
      </c>
      <c r="C513" s="38">
        <v>9.8000000000000004E-2</v>
      </c>
      <c r="D513" s="38">
        <v>0.34399999999999997</v>
      </c>
      <c r="E513" s="38">
        <v>0.96499999999999997</v>
      </c>
    </row>
    <row r="514" spans="1:5">
      <c r="A514" s="55" t="s">
        <v>1284</v>
      </c>
      <c r="B514" s="38">
        <v>7.6999999999999999E-2</v>
      </c>
      <c r="C514" s="38">
        <v>9.8000000000000004E-2</v>
      </c>
      <c r="D514" s="38">
        <v>0.34499999999999997</v>
      </c>
      <c r="E514" s="38">
        <v>0.98099999999999998</v>
      </c>
    </row>
    <row r="515" spans="1:5">
      <c r="A515" s="55" t="s">
        <v>1285</v>
      </c>
      <c r="B515" s="38">
        <v>7.3999999999999996E-2</v>
      </c>
      <c r="C515" s="38">
        <v>9.5000000000000001E-2</v>
      </c>
      <c r="D515" s="38">
        <v>0.33700000000000002</v>
      </c>
      <c r="E515" s="38">
        <v>0.97299999999999998</v>
      </c>
    </row>
    <row r="516" spans="1:5">
      <c r="A516" s="55" t="s">
        <v>1286</v>
      </c>
      <c r="B516" s="38">
        <v>7.5999999999999998E-2</v>
      </c>
      <c r="C516" s="38">
        <v>0.1</v>
      </c>
      <c r="D516" s="38">
        <v>0.34300000000000003</v>
      </c>
      <c r="E516" s="38">
        <v>0.98399999999999999</v>
      </c>
    </row>
    <row r="517" spans="1:5">
      <c r="A517" s="55" t="s">
        <v>1287</v>
      </c>
      <c r="B517" s="38">
        <v>7.4999999999999997E-2</v>
      </c>
      <c r="C517" s="38">
        <v>0.10299999999999999</v>
      </c>
      <c r="D517" s="38">
        <v>0.33400000000000002</v>
      </c>
      <c r="E517" s="38">
        <v>0.94799999999999995</v>
      </c>
    </row>
    <row r="518" spans="1:5">
      <c r="A518" s="55" t="s">
        <v>1288</v>
      </c>
      <c r="B518" s="38">
        <v>7.5999999999999998E-2</v>
      </c>
      <c r="C518" s="38">
        <v>0.123</v>
      </c>
      <c r="D518" s="38">
        <v>0.36299999999999999</v>
      </c>
      <c r="E518" s="38">
        <v>1.03</v>
      </c>
    </row>
    <row r="519" spans="1:5">
      <c r="A519" s="55" t="s">
        <v>1289</v>
      </c>
      <c r="B519" s="38">
        <v>7.6999999999999999E-2</v>
      </c>
      <c r="C519" s="38">
        <v>0.106</v>
      </c>
      <c r="D519" s="38">
        <v>0.379</v>
      </c>
      <c r="E519" s="38">
        <v>1.05</v>
      </c>
    </row>
    <row r="520" spans="1:5">
      <c r="A520" s="55" t="s">
        <v>1290</v>
      </c>
      <c r="B520" s="38">
        <v>7.6999999999999999E-2</v>
      </c>
      <c r="C520" s="38">
        <v>0.106</v>
      </c>
      <c r="D520" s="38">
        <v>0.39600000000000002</v>
      </c>
      <c r="E520" s="38">
        <v>1.0900000000000001</v>
      </c>
    </row>
    <row r="521" spans="1:5">
      <c r="A521" s="55" t="s">
        <v>1291</v>
      </c>
      <c r="B521" s="38">
        <v>7.5999999999999998E-2</v>
      </c>
      <c r="C521" s="38">
        <v>0.105</v>
      </c>
      <c r="D521" s="38">
        <v>0.38700000000000001</v>
      </c>
      <c r="E521" s="38">
        <v>1.071</v>
      </c>
    </row>
    <row r="522" spans="1:5">
      <c r="A522" s="55" t="s">
        <v>1292</v>
      </c>
      <c r="B522" s="38">
        <v>7.9000000000000001E-2</v>
      </c>
      <c r="C522" s="38">
        <v>0.107</v>
      </c>
      <c r="D522" s="38">
        <v>0.40200000000000002</v>
      </c>
      <c r="E522" s="38">
        <v>1.1100000000000001</v>
      </c>
    </row>
    <row r="523" spans="1:5">
      <c r="A523" s="55" t="s">
        <v>1293</v>
      </c>
      <c r="B523" s="38">
        <v>8.2000000000000003E-2</v>
      </c>
      <c r="C523" s="38">
        <v>0.108</v>
      </c>
      <c r="D523" s="38">
        <v>0.39400000000000002</v>
      </c>
      <c r="E523" s="38">
        <v>1.071</v>
      </c>
    </row>
    <row r="524" spans="1:5">
      <c r="A524" s="55" t="s">
        <v>1294</v>
      </c>
      <c r="B524" s="38">
        <v>7.8E-2</v>
      </c>
      <c r="C524" s="38">
        <v>0.105</v>
      </c>
      <c r="D524" s="38">
        <v>0.38700000000000001</v>
      </c>
      <c r="E524" s="38">
        <v>1.0620000000000001</v>
      </c>
    </row>
    <row r="525" spans="1:5">
      <c r="A525" s="55" t="s">
        <v>1295</v>
      </c>
      <c r="B525" s="38">
        <v>7.8E-2</v>
      </c>
      <c r="C525" s="38">
        <v>0.10100000000000001</v>
      </c>
      <c r="D525" s="38">
        <v>0.371</v>
      </c>
      <c r="E525" s="38">
        <v>1.048</v>
      </c>
    </row>
    <row r="526" spans="1:5">
      <c r="A526" s="55" t="s">
        <v>1296</v>
      </c>
      <c r="B526" s="38">
        <v>7.9000000000000001E-2</v>
      </c>
      <c r="C526" s="38">
        <v>0.10100000000000001</v>
      </c>
      <c r="D526" s="38">
        <v>0.36099999999999999</v>
      </c>
      <c r="E526" s="38">
        <v>1.034</v>
      </c>
    </row>
    <row r="527" spans="1:5">
      <c r="A527" s="55" t="s">
        <v>1297</v>
      </c>
      <c r="B527" s="38">
        <v>7.9000000000000001E-2</v>
      </c>
      <c r="C527" s="38">
        <v>0.104</v>
      </c>
      <c r="D527" s="38">
        <v>0.371</v>
      </c>
      <c r="E527" s="38">
        <v>1.06</v>
      </c>
    </row>
    <row r="528" spans="1:5">
      <c r="A528" s="55" t="s">
        <v>1298</v>
      </c>
      <c r="B528" s="38">
        <v>7.9000000000000001E-2</v>
      </c>
      <c r="C528" s="38">
        <v>0.104</v>
      </c>
      <c r="D528" s="38">
        <v>0.36799999999999999</v>
      </c>
      <c r="E528" s="38">
        <v>1.0509999999999999</v>
      </c>
    </row>
    <row r="529" spans="1:5">
      <c r="A529" s="55" t="s">
        <v>1299</v>
      </c>
      <c r="B529" s="38">
        <v>7.8E-2</v>
      </c>
      <c r="C529" s="38">
        <v>0.104</v>
      </c>
      <c r="D529" s="38">
        <v>0.36399999999999999</v>
      </c>
      <c r="E529" s="38">
        <v>1.0309999999999999</v>
      </c>
    </row>
    <row r="530" spans="1:5">
      <c r="A530" s="55" t="s">
        <v>1300</v>
      </c>
      <c r="B530" s="38">
        <v>8.3000000000000004E-2</v>
      </c>
      <c r="C530" s="38">
        <v>0.109</v>
      </c>
      <c r="D530" s="38">
        <v>0.38500000000000001</v>
      </c>
      <c r="E530" s="38">
        <v>1.0920000000000001</v>
      </c>
    </row>
    <row r="531" spans="1:5">
      <c r="A531" s="55" t="s">
        <v>1301</v>
      </c>
      <c r="B531" s="38">
        <v>7.9000000000000001E-2</v>
      </c>
      <c r="C531" s="38">
        <v>0.104</v>
      </c>
      <c r="D531" s="38">
        <v>0.377</v>
      </c>
      <c r="E531" s="38">
        <v>1.069</v>
      </c>
    </row>
    <row r="532" spans="1:5">
      <c r="A532" s="55" t="s">
        <v>1302</v>
      </c>
      <c r="B532" s="38">
        <v>8.4000000000000005E-2</v>
      </c>
      <c r="C532" s="38">
        <v>0.107</v>
      </c>
      <c r="D532" s="38">
        <v>0.36899999999999999</v>
      </c>
      <c r="E532" s="38">
        <v>1.0589999999999999</v>
      </c>
    </row>
    <row r="533" spans="1:5">
      <c r="A533" s="55" t="s">
        <v>1303</v>
      </c>
      <c r="B533" s="38">
        <v>8.3000000000000004E-2</v>
      </c>
      <c r="C533" s="38">
        <v>0.106</v>
      </c>
      <c r="D533" s="38">
        <v>0.36499999999999999</v>
      </c>
      <c r="E533" s="38">
        <v>1.046</v>
      </c>
    </row>
    <row r="534" spans="1:5">
      <c r="A534" s="55" t="s">
        <v>1304</v>
      </c>
      <c r="B534" s="38">
        <v>8.5000000000000006E-2</v>
      </c>
      <c r="C534" s="38">
        <v>0.107</v>
      </c>
      <c r="D534" s="38">
        <v>0.374</v>
      </c>
      <c r="E534" s="38">
        <v>1.0960000000000001</v>
      </c>
    </row>
    <row r="535" spans="1:5">
      <c r="A535" s="55" t="s">
        <v>1305</v>
      </c>
      <c r="B535" s="38">
        <v>8.7999999999999995E-2</v>
      </c>
      <c r="C535" s="38">
        <v>0.11</v>
      </c>
      <c r="D535" s="38">
        <v>0.38200000000000001</v>
      </c>
      <c r="E535" s="38">
        <v>1.1180000000000001</v>
      </c>
    </row>
    <row r="536" spans="1:5">
      <c r="A536" s="55" t="s">
        <v>1306</v>
      </c>
      <c r="B536" s="38">
        <v>9.1999999999999998E-2</v>
      </c>
      <c r="C536" s="38">
        <v>0.11</v>
      </c>
      <c r="D536" s="38">
        <v>0.376</v>
      </c>
      <c r="E536" s="38">
        <v>1.1220000000000001</v>
      </c>
    </row>
    <row r="537" spans="1:5">
      <c r="A537" s="55" t="s">
        <v>1307</v>
      </c>
      <c r="B537" s="38">
        <v>9.2999999999999999E-2</v>
      </c>
      <c r="C537" s="38">
        <v>0.106</v>
      </c>
      <c r="D537" s="38">
        <v>0.38</v>
      </c>
      <c r="E537" s="38">
        <v>1.143</v>
      </c>
    </row>
    <row r="538" spans="1:5">
      <c r="A538" s="55" t="s">
        <v>1308</v>
      </c>
      <c r="B538" s="38">
        <v>9.7000000000000003E-2</v>
      </c>
      <c r="C538" s="38">
        <v>0.109</v>
      </c>
      <c r="D538" s="38">
        <v>0.40500000000000003</v>
      </c>
      <c r="E538" s="38">
        <v>1.196</v>
      </c>
    </row>
    <row r="539" spans="1:5">
      <c r="A539" s="55" t="s">
        <v>1309</v>
      </c>
      <c r="B539" s="38">
        <v>9.1999999999999998E-2</v>
      </c>
      <c r="C539" s="38">
        <v>0.106</v>
      </c>
      <c r="D539" s="38">
        <v>0.39600000000000002</v>
      </c>
      <c r="E539" s="38">
        <v>1.1619999999999999</v>
      </c>
    </row>
    <row r="540" spans="1:5">
      <c r="A540" s="55" t="s">
        <v>1310</v>
      </c>
      <c r="B540" s="38">
        <v>0.09</v>
      </c>
      <c r="C540" s="38">
        <v>0.10299999999999999</v>
      </c>
      <c r="D540" s="38">
        <v>0.41599999999999998</v>
      </c>
      <c r="E540" s="38">
        <v>1.238</v>
      </c>
    </row>
    <row r="541" spans="1:5">
      <c r="A541" s="55" t="s">
        <v>1311</v>
      </c>
      <c r="B541" s="38">
        <v>8.7999999999999995E-2</v>
      </c>
      <c r="C541" s="38">
        <v>0.10299999999999999</v>
      </c>
      <c r="D541" s="38">
        <v>0.40799999999999997</v>
      </c>
      <c r="E541" s="38">
        <v>1.1990000000000001</v>
      </c>
    </row>
    <row r="542" spans="1:5">
      <c r="A542" s="55" t="s">
        <v>1312</v>
      </c>
      <c r="B542" s="38">
        <v>8.7999999999999995E-2</v>
      </c>
      <c r="C542" s="38">
        <v>0.10100000000000001</v>
      </c>
      <c r="D542" s="38">
        <v>0.40799999999999997</v>
      </c>
      <c r="E542" s="38">
        <v>1.19</v>
      </c>
    </row>
    <row r="543" spans="1:5">
      <c r="A543" s="55" t="s">
        <v>1313</v>
      </c>
      <c r="B543" s="38">
        <v>8.6999999999999994E-2</v>
      </c>
      <c r="C543" s="38">
        <v>0.1</v>
      </c>
      <c r="D543" s="38">
        <v>0.4</v>
      </c>
      <c r="E543" s="38">
        <v>1.155</v>
      </c>
    </row>
    <row r="544" spans="1:5">
      <c r="A544" s="55" t="s">
        <v>1314</v>
      </c>
      <c r="B544" s="38">
        <v>8.7999999999999995E-2</v>
      </c>
      <c r="C544" s="38">
        <v>0.104</v>
      </c>
      <c r="D544" s="38">
        <v>0.40899999999999997</v>
      </c>
      <c r="E544" s="38">
        <v>1.19</v>
      </c>
    </row>
    <row r="545" spans="1:5">
      <c r="A545" s="55" t="s">
        <v>1315</v>
      </c>
      <c r="B545" s="38">
        <v>0.09</v>
      </c>
      <c r="C545" s="38">
        <v>0.107</v>
      </c>
      <c r="D545" s="38">
        <v>0.437</v>
      </c>
      <c r="E545" s="38">
        <v>1.29</v>
      </c>
    </row>
    <row r="546" spans="1:5">
      <c r="A546" s="55" t="s">
        <v>1316</v>
      </c>
      <c r="B546" s="38">
        <v>9.2999999999999999E-2</v>
      </c>
      <c r="C546" s="38">
        <v>0.108</v>
      </c>
      <c r="D546" s="38">
        <v>0.44900000000000001</v>
      </c>
      <c r="E546" s="38">
        <v>1.292</v>
      </c>
    </row>
    <row r="547" spans="1:5">
      <c r="A547" s="55" t="s">
        <v>1317</v>
      </c>
      <c r="B547" s="38">
        <v>0.1</v>
      </c>
      <c r="C547" s="38">
        <v>0.115</v>
      </c>
      <c r="D547" s="38">
        <v>0.48599999999999999</v>
      </c>
      <c r="E547" s="38">
        <v>1.3720000000000001</v>
      </c>
    </row>
    <row r="548" spans="1:5">
      <c r="A548" s="55" t="s">
        <v>1318</v>
      </c>
      <c r="B548" s="38">
        <v>0.104</v>
      </c>
      <c r="C548" s="38">
        <v>0.115</v>
      </c>
      <c r="D548" s="38">
        <v>0.48</v>
      </c>
      <c r="E548" s="38">
        <v>1.337</v>
      </c>
    </row>
    <row r="549" spans="1:5">
      <c r="A549" s="55" t="s">
        <v>1319</v>
      </c>
      <c r="B549" s="38">
        <v>0.111</v>
      </c>
      <c r="C549" s="38">
        <v>0.121</v>
      </c>
      <c r="D549" s="38">
        <v>0.51600000000000001</v>
      </c>
      <c r="E549" s="38">
        <v>1.403</v>
      </c>
    </row>
    <row r="550" spans="1:5">
      <c r="A550" s="55" t="s">
        <v>1320</v>
      </c>
      <c r="B550" s="38">
        <v>0.11899999999999999</v>
      </c>
      <c r="C550" s="38">
        <v>0.126</v>
      </c>
      <c r="D550" s="38">
        <v>0.61599999999999999</v>
      </c>
      <c r="E550" s="38">
        <v>1.573</v>
      </c>
    </row>
    <row r="551" spans="1:5">
      <c r="A551" s="55" t="s">
        <v>1321</v>
      </c>
      <c r="B551" s="38">
        <v>0.11600000000000001</v>
      </c>
      <c r="C551" s="38">
        <v>0.123</v>
      </c>
      <c r="D551" s="38">
        <v>0.60099999999999998</v>
      </c>
      <c r="E551" s="38">
        <v>1.534</v>
      </c>
    </row>
    <row r="552" spans="1:5">
      <c r="A552" s="55" t="s">
        <v>1322</v>
      </c>
      <c r="B552" s="38">
        <v>0.115</v>
      </c>
      <c r="C552" s="38">
        <v>0.124</v>
      </c>
      <c r="D552" s="38">
        <v>0.626</v>
      </c>
      <c r="E552" s="38">
        <v>1.581</v>
      </c>
    </row>
    <row r="553" spans="1:5">
      <c r="A553" s="55" t="s">
        <v>1323</v>
      </c>
      <c r="B553" s="38">
        <v>0.112</v>
      </c>
      <c r="C553" s="38">
        <v>0.11899999999999999</v>
      </c>
      <c r="D553" s="38">
        <v>0.70299999999999996</v>
      </c>
      <c r="E553" s="38">
        <v>1.7030000000000001</v>
      </c>
    </row>
    <row r="554" spans="1:5">
      <c r="A554" s="55" t="s">
        <v>1324</v>
      </c>
      <c r="B554" s="38">
        <v>0.108</v>
      </c>
      <c r="C554" s="38">
        <v>0.115</v>
      </c>
      <c r="D554" s="38">
        <v>0.80600000000000005</v>
      </c>
      <c r="E554" s="38">
        <v>1.885</v>
      </c>
    </row>
    <row r="555" spans="1:5">
      <c r="A555" s="55" t="s">
        <v>1325</v>
      </c>
      <c r="B555" s="38">
        <v>0.113</v>
      </c>
      <c r="C555" s="38">
        <v>0.11899999999999999</v>
      </c>
      <c r="D555" s="38">
        <v>0.67300000000000004</v>
      </c>
      <c r="E555" s="38">
        <v>1.64</v>
      </c>
    </row>
    <row r="556" spans="1:5">
      <c r="A556" s="55" t="s">
        <v>1326</v>
      </c>
      <c r="B556" s="38">
        <v>0.106</v>
      </c>
      <c r="C556" s="38">
        <v>0.112</v>
      </c>
      <c r="D556" s="38">
        <v>0.70099999999999996</v>
      </c>
      <c r="E556" s="38">
        <v>1.6890000000000001</v>
      </c>
    </row>
    <row r="557" spans="1:5">
      <c r="A557" s="55" t="s">
        <v>1327</v>
      </c>
      <c r="B557" s="38">
        <v>0.106</v>
      </c>
      <c r="C557" s="38">
        <v>0.111</v>
      </c>
      <c r="D557" s="38">
        <v>0.69899999999999995</v>
      </c>
      <c r="E557" s="38">
        <v>1.65</v>
      </c>
    </row>
    <row r="558" spans="1:5">
      <c r="A558" s="55" t="s">
        <v>1328</v>
      </c>
      <c r="B558" s="38">
        <v>0.11600000000000001</v>
      </c>
      <c r="C558" s="38">
        <v>0.126</v>
      </c>
      <c r="D558" s="38">
        <v>0.77100000000000002</v>
      </c>
      <c r="E558" s="38">
        <v>1.7470000000000001</v>
      </c>
    </row>
    <row r="559" spans="1:5">
      <c r="A559" s="55" t="s">
        <v>1329</v>
      </c>
      <c r="B559" s="38">
        <v>0.12</v>
      </c>
      <c r="C559" s="38">
        <v>0.128</v>
      </c>
      <c r="D559" s="38">
        <v>0.80400000000000005</v>
      </c>
      <c r="E559" s="38">
        <v>1.8080000000000001</v>
      </c>
    </row>
    <row r="560" spans="1:5">
      <c r="A560" s="55" t="s">
        <v>1330</v>
      </c>
      <c r="B560" s="38">
        <v>0.122</v>
      </c>
      <c r="C560" s="38">
        <v>0.129</v>
      </c>
      <c r="D560" s="38">
        <v>0.77</v>
      </c>
      <c r="E560" s="38">
        <v>1.746</v>
      </c>
    </row>
    <row r="561" spans="1:5">
      <c r="A561" s="55" t="s">
        <v>1331</v>
      </c>
      <c r="B561" s="38">
        <v>0.104</v>
      </c>
      <c r="C561" s="38">
        <v>0.107</v>
      </c>
      <c r="D561" s="38">
        <v>0.76900000000000002</v>
      </c>
      <c r="E561" s="38">
        <v>1.756</v>
      </c>
    </row>
    <row r="562" spans="1:5">
      <c r="A562" s="55" t="s">
        <v>1332</v>
      </c>
      <c r="B562" s="38">
        <v>9.7000000000000003E-2</v>
      </c>
      <c r="C562" s="38">
        <v>9.6000000000000002E-2</v>
      </c>
      <c r="D562" s="38">
        <v>0.73599999999999999</v>
      </c>
      <c r="E562" s="38">
        <v>1.6859999999999999</v>
      </c>
    </row>
    <row r="563" spans="1:5">
      <c r="A563" s="55" t="s">
        <v>1333</v>
      </c>
      <c r="B563" s="38">
        <v>8.8999999999999996E-2</v>
      </c>
      <c r="C563" s="38">
        <v>8.7999999999999995E-2</v>
      </c>
      <c r="D563" s="38">
        <v>0.67800000000000005</v>
      </c>
      <c r="E563" s="38">
        <v>1.631</v>
      </c>
    </row>
    <row r="564" spans="1:5">
      <c r="A564" s="55" t="s">
        <v>1334</v>
      </c>
      <c r="B564" s="38">
        <v>0.1</v>
      </c>
      <c r="C564" s="38">
        <v>9.7000000000000003E-2</v>
      </c>
      <c r="D564" s="38">
        <v>0.69899999999999995</v>
      </c>
      <c r="E564" s="38">
        <v>1.6879999999999999</v>
      </c>
    </row>
    <row r="565" spans="1:5">
      <c r="A565" s="55" t="s">
        <v>1335</v>
      </c>
      <c r="B565" s="38">
        <v>8.4000000000000005E-2</v>
      </c>
      <c r="C565" s="38">
        <v>8.5999999999999993E-2</v>
      </c>
      <c r="D565" s="38">
        <v>0.71</v>
      </c>
      <c r="E565" s="38">
        <v>1.7669999999999999</v>
      </c>
    </row>
    <row r="566" spans="1:5">
      <c r="A566" s="55" t="s">
        <v>1336</v>
      </c>
      <c r="B566" s="38">
        <v>8.3000000000000004E-2</v>
      </c>
      <c r="C566" s="38">
        <v>8.5999999999999993E-2</v>
      </c>
      <c r="D566" s="38">
        <v>0.65900000000000003</v>
      </c>
      <c r="E566" s="38">
        <v>1.67</v>
      </c>
    </row>
    <row r="567" spans="1:5">
      <c r="A567" s="55" t="s">
        <v>1337</v>
      </c>
      <c r="B567" s="38">
        <v>0.08</v>
      </c>
      <c r="C567" s="38">
        <v>8.4000000000000005E-2</v>
      </c>
      <c r="D567" s="38">
        <v>0.67400000000000004</v>
      </c>
      <c r="E567" s="38">
        <v>1.6950000000000001</v>
      </c>
    </row>
    <row r="568" spans="1:5">
      <c r="A568" s="55" t="s">
        <v>1338</v>
      </c>
      <c r="B568" s="38">
        <v>8.5999999999999993E-2</v>
      </c>
      <c r="C568" s="38">
        <v>9.6000000000000002E-2</v>
      </c>
      <c r="D568" s="38">
        <v>0.73</v>
      </c>
      <c r="E568" s="38">
        <v>1.7609999999999999</v>
      </c>
    </row>
    <row r="569" spans="1:5">
      <c r="A569" s="55" t="s">
        <v>1339</v>
      </c>
      <c r="B569" s="38">
        <v>8.5999999999999993E-2</v>
      </c>
      <c r="C569" s="38">
        <v>0.10199999999999999</v>
      </c>
      <c r="D569" s="38">
        <v>0.75900000000000001</v>
      </c>
      <c r="E569" s="38">
        <v>1.78</v>
      </c>
    </row>
    <row r="570" spans="1:5">
      <c r="A570" s="55" t="s">
        <v>1340</v>
      </c>
      <c r="B570" s="38">
        <v>8.4000000000000005E-2</v>
      </c>
      <c r="C570" s="38">
        <v>0.10199999999999999</v>
      </c>
      <c r="D570" s="38">
        <v>0.71699999999999997</v>
      </c>
      <c r="E570" s="38">
        <v>1.7370000000000001</v>
      </c>
    </row>
    <row r="571" spans="1:5">
      <c r="A571" s="55" t="s">
        <v>1341</v>
      </c>
      <c r="B571" s="38">
        <v>7.9000000000000001E-2</v>
      </c>
      <c r="C571" s="38">
        <v>0.10299999999999999</v>
      </c>
      <c r="D571" s="38">
        <v>0.68700000000000006</v>
      </c>
      <c r="E571" s="38">
        <v>1.7070000000000001</v>
      </c>
    </row>
    <row r="572" spans="1:5">
      <c r="A572" s="55" t="s">
        <v>1342</v>
      </c>
      <c r="B572" s="38">
        <v>7.8E-2</v>
      </c>
      <c r="C572" s="38">
        <v>0.1</v>
      </c>
      <c r="D572" s="38">
        <v>0.64</v>
      </c>
      <c r="E572" s="38">
        <v>1.63</v>
      </c>
    </row>
    <row r="573" spans="1:5">
      <c r="A573" s="55" t="s">
        <v>1343</v>
      </c>
      <c r="B573" s="38">
        <v>7.3999999999999996E-2</v>
      </c>
      <c r="C573" s="38">
        <v>9.5000000000000001E-2</v>
      </c>
      <c r="D573" s="38">
        <v>0.65500000000000003</v>
      </c>
      <c r="E573" s="38">
        <v>1.657</v>
      </c>
    </row>
    <row r="574" spans="1:5">
      <c r="A574" s="55" t="s">
        <v>1344</v>
      </c>
      <c r="B574" s="38">
        <v>7.1999999999999995E-2</v>
      </c>
      <c r="C574" s="38">
        <v>9.1999999999999998E-2</v>
      </c>
      <c r="D574" s="38">
        <v>0.64800000000000002</v>
      </c>
      <c r="E574" s="38">
        <v>1.6319999999999999</v>
      </c>
    </row>
    <row r="575" spans="1:5">
      <c r="A575" s="55" t="s">
        <v>1345</v>
      </c>
      <c r="B575" s="38">
        <v>7.0999999999999994E-2</v>
      </c>
      <c r="C575" s="38">
        <v>9.6000000000000002E-2</v>
      </c>
      <c r="D575" s="38">
        <v>0.66</v>
      </c>
      <c r="E575" s="38">
        <v>1.6659999999999999</v>
      </c>
    </row>
    <row r="576" spans="1:5">
      <c r="A576" s="55" t="s">
        <v>1346</v>
      </c>
      <c r="B576" s="38">
        <v>7.2999999999999995E-2</v>
      </c>
      <c r="C576" s="38">
        <v>0.106</v>
      </c>
      <c r="D576" s="38">
        <v>0.72099999999999997</v>
      </c>
      <c r="E576" s="38">
        <v>1.7569999999999999</v>
      </c>
    </row>
    <row r="577" spans="1:5">
      <c r="A577" s="55" t="s">
        <v>1347</v>
      </c>
      <c r="B577" s="38">
        <v>7.3999999999999996E-2</v>
      </c>
      <c r="C577" s="38">
        <v>0.107</v>
      </c>
      <c r="D577" s="38">
        <v>0.71799999999999997</v>
      </c>
      <c r="E577" s="38">
        <v>1.7629999999999999</v>
      </c>
    </row>
    <row r="578" spans="1:5">
      <c r="A578" s="55" t="s">
        <v>1348</v>
      </c>
      <c r="B578" s="38">
        <v>7.5999999999999998E-2</v>
      </c>
      <c r="C578" s="38">
        <v>0.105</v>
      </c>
      <c r="D578" s="38">
        <v>0.70699999999999996</v>
      </c>
      <c r="E578" s="38">
        <v>1.76</v>
      </c>
    </row>
    <row r="579" spans="1:5">
      <c r="A579" s="55" t="s">
        <v>1349</v>
      </c>
      <c r="B579" s="38">
        <v>7.4999999999999997E-2</v>
      </c>
      <c r="C579" s="38">
        <v>0.105</v>
      </c>
      <c r="D579" s="38">
        <v>0.67700000000000005</v>
      </c>
      <c r="E579" s="38">
        <v>1.7030000000000001</v>
      </c>
    </row>
    <row r="580" spans="1:5">
      <c r="A580" s="55" t="s">
        <v>1350</v>
      </c>
      <c r="B580" s="38">
        <v>7.4999999999999997E-2</v>
      </c>
      <c r="C580" s="38">
        <v>0.105</v>
      </c>
      <c r="D580" s="38">
        <v>0.65700000000000003</v>
      </c>
      <c r="E580" s="38">
        <v>1.67</v>
      </c>
    </row>
    <row r="581" spans="1:5">
      <c r="A581" s="55" t="s">
        <v>1351</v>
      </c>
      <c r="B581" s="38">
        <v>7.4999999999999997E-2</v>
      </c>
      <c r="C581" s="38">
        <v>0.104</v>
      </c>
      <c r="D581" s="38">
        <v>0.65</v>
      </c>
      <c r="E581" s="38">
        <v>1.661</v>
      </c>
    </row>
    <row r="582" spans="1:5">
      <c r="A582" s="55" t="s">
        <v>1352</v>
      </c>
      <c r="B582" s="38">
        <v>7.3999999999999996E-2</v>
      </c>
      <c r="C582" s="38">
        <v>0.10199999999999999</v>
      </c>
      <c r="D582" s="38">
        <v>0.66400000000000003</v>
      </c>
      <c r="E582" s="38">
        <v>1.677</v>
      </c>
    </row>
    <row r="583" spans="1:5">
      <c r="A583" s="55" t="s">
        <v>1353</v>
      </c>
      <c r="B583" s="38">
        <v>7.4999999999999997E-2</v>
      </c>
      <c r="C583" s="38">
        <v>0.10100000000000001</v>
      </c>
      <c r="D583" s="38">
        <v>0.67</v>
      </c>
      <c r="E583" s="38">
        <v>1.694</v>
      </c>
    </row>
    <row r="584" spans="1:5">
      <c r="A584" s="55" t="s">
        <v>1354</v>
      </c>
      <c r="B584" s="38">
        <v>7.3999999999999996E-2</v>
      </c>
      <c r="C584" s="38">
        <v>0.10299999999999999</v>
      </c>
      <c r="D584" s="38">
        <v>0.70199999999999996</v>
      </c>
      <c r="E584" s="38">
        <v>1.7350000000000001</v>
      </c>
    </row>
    <row r="585" spans="1:5">
      <c r="A585" s="55" t="s">
        <v>1355</v>
      </c>
      <c r="B585" s="38">
        <v>7.3999999999999996E-2</v>
      </c>
      <c r="C585" s="38">
        <v>0.10199999999999999</v>
      </c>
      <c r="D585" s="38">
        <v>0.67900000000000005</v>
      </c>
      <c r="E585" s="38">
        <v>1.6719999999999999</v>
      </c>
    </row>
    <row r="586" spans="1:5">
      <c r="A586" s="55" t="s">
        <v>1356</v>
      </c>
      <c r="B586" s="38">
        <v>7.4999999999999997E-2</v>
      </c>
      <c r="C586" s="38">
        <v>0.10299999999999999</v>
      </c>
      <c r="D586" s="38">
        <v>0.69599999999999995</v>
      </c>
      <c r="E586" s="38">
        <v>1.6919999999999999</v>
      </c>
    </row>
    <row r="587" spans="1:5">
      <c r="A587" s="55" t="s">
        <v>1357</v>
      </c>
      <c r="B587" s="38">
        <v>7.3999999999999996E-2</v>
      </c>
      <c r="C587" s="38">
        <v>0.10299999999999999</v>
      </c>
      <c r="D587" s="38">
        <v>0.69599999999999995</v>
      </c>
      <c r="E587" s="38">
        <v>1.659</v>
      </c>
    </row>
    <row r="588" spans="1:5">
      <c r="A588" s="55" t="s">
        <v>1358</v>
      </c>
      <c r="B588" s="38">
        <v>7.3999999999999996E-2</v>
      </c>
      <c r="C588" s="38">
        <v>0.10199999999999999</v>
      </c>
      <c r="D588" s="38">
        <v>0.68500000000000005</v>
      </c>
      <c r="E588" s="38">
        <v>1.64</v>
      </c>
    </row>
    <row r="589" spans="1:5">
      <c r="A589" s="55" t="s">
        <v>1359</v>
      </c>
      <c r="B589" s="38">
        <v>7.3999999999999996E-2</v>
      </c>
      <c r="C589" s="38">
        <v>0.10100000000000001</v>
      </c>
      <c r="D589" s="38">
        <v>0.72099999999999997</v>
      </c>
      <c r="E589" s="38">
        <v>1.7050000000000001</v>
      </c>
    </row>
    <row r="590" spans="1:5">
      <c r="A590" s="55" t="s">
        <v>1360</v>
      </c>
      <c r="B590" s="38">
        <v>7.1999999999999995E-2</v>
      </c>
      <c r="C590" s="38">
        <v>0.10100000000000001</v>
      </c>
      <c r="D590" s="38">
        <v>0.69199999999999995</v>
      </c>
      <c r="E590" s="38">
        <v>1.657</v>
      </c>
    </row>
    <row r="591" spans="1:5">
      <c r="A591" s="55" t="s">
        <v>1361</v>
      </c>
      <c r="B591" s="38">
        <v>7.1999999999999995E-2</v>
      </c>
      <c r="C591" s="38">
        <v>0.10199999999999999</v>
      </c>
      <c r="D591" s="38">
        <v>0.69199999999999995</v>
      </c>
      <c r="E591" s="38">
        <v>1.623</v>
      </c>
    </row>
    <row r="592" spans="1:5">
      <c r="A592" s="55" t="s">
        <v>1362</v>
      </c>
      <c r="B592" s="38">
        <v>7.0999999999999994E-2</v>
      </c>
      <c r="C592" s="38">
        <v>0.10199999999999999</v>
      </c>
      <c r="D592" s="38">
        <v>0.71799999999999997</v>
      </c>
      <c r="E592" s="38">
        <v>1.659</v>
      </c>
    </row>
    <row r="593" spans="1:5">
      <c r="A593" s="55" t="s">
        <v>1363</v>
      </c>
      <c r="B593" s="38">
        <v>7.1999999999999995E-2</v>
      </c>
      <c r="C593" s="38">
        <v>0.108</v>
      </c>
      <c r="D593" s="38">
        <v>0.73199999999999998</v>
      </c>
      <c r="E593" s="38">
        <v>1.68</v>
      </c>
    </row>
    <row r="594" spans="1:5">
      <c r="A594" s="55" t="s">
        <v>1364</v>
      </c>
      <c r="B594" s="38">
        <v>7.3999999999999996E-2</v>
      </c>
      <c r="C594" s="38">
        <v>0.11</v>
      </c>
      <c r="D594" s="38">
        <v>0.72399999999999998</v>
      </c>
      <c r="E594" s="38">
        <v>1.6659999999999999</v>
      </c>
    </row>
    <row r="595" spans="1:5">
      <c r="A595" s="55" t="s">
        <v>1365</v>
      </c>
      <c r="B595" s="38">
        <v>7.3999999999999996E-2</v>
      </c>
      <c r="C595" s="38">
        <v>0.113</v>
      </c>
      <c r="D595" s="38">
        <v>0.70199999999999996</v>
      </c>
      <c r="E595" s="38">
        <v>1.657</v>
      </c>
    </row>
    <row r="596" spans="1:5">
      <c r="A596" s="55" t="s">
        <v>1366</v>
      </c>
      <c r="B596" s="38">
        <v>7.3999999999999996E-2</v>
      </c>
      <c r="C596" s="38">
        <v>0.113</v>
      </c>
      <c r="D596" s="38">
        <v>0.68500000000000005</v>
      </c>
      <c r="E596" s="38">
        <v>1.643</v>
      </c>
    </row>
    <row r="597" spans="1:5">
      <c r="A597" s="55" t="s">
        <v>1367</v>
      </c>
      <c r="B597" s="38">
        <v>7.6999999999999999E-2</v>
      </c>
      <c r="C597" s="38">
        <v>0.107</v>
      </c>
      <c r="D597" s="38">
        <v>0.69299999999999995</v>
      </c>
      <c r="E597" s="38">
        <v>1.6739999999999999</v>
      </c>
    </row>
    <row r="598" spans="1:5">
      <c r="A598" s="55" t="s">
        <v>1368</v>
      </c>
      <c r="B598" s="38">
        <v>7.9000000000000001E-2</v>
      </c>
      <c r="C598" s="38">
        <v>0.107</v>
      </c>
      <c r="D598" s="38">
        <v>0.69199999999999995</v>
      </c>
      <c r="E598" s="38">
        <v>1.679</v>
      </c>
    </row>
    <row r="599" spans="1:5">
      <c r="A599" s="55" t="s">
        <v>1369</v>
      </c>
      <c r="B599" s="38">
        <v>8.3000000000000004E-2</v>
      </c>
      <c r="C599" s="38">
        <v>0.109</v>
      </c>
      <c r="D599" s="38">
        <v>0.69899999999999995</v>
      </c>
      <c r="E599" s="38">
        <v>1.6859999999999999</v>
      </c>
    </row>
    <row r="600" spans="1:5">
      <c r="A600" s="55" t="s">
        <v>1370</v>
      </c>
      <c r="B600" s="38">
        <v>8.5000000000000006E-2</v>
      </c>
      <c r="C600" s="38">
        <v>0.111</v>
      </c>
      <c r="D600" s="38">
        <v>0.69099999999999995</v>
      </c>
      <c r="E600" s="38">
        <v>1.6679999999999999</v>
      </c>
    </row>
    <row r="601" spans="1:5">
      <c r="A601" s="55" t="s">
        <v>1371</v>
      </c>
      <c r="B601" s="38">
        <v>8.7999999999999995E-2</v>
      </c>
      <c r="C601" s="38">
        <v>0.109</v>
      </c>
      <c r="D601" s="38">
        <v>0.67300000000000004</v>
      </c>
      <c r="E601" s="38">
        <v>1.629</v>
      </c>
    </row>
    <row r="602" spans="1:5">
      <c r="A602" s="55" t="s">
        <v>1372</v>
      </c>
      <c r="B602" s="38">
        <v>8.2000000000000003E-2</v>
      </c>
      <c r="C602" s="38">
        <v>0.10299999999999999</v>
      </c>
      <c r="D602" s="38">
        <v>0.66600000000000004</v>
      </c>
      <c r="E602" s="38">
        <v>1.609</v>
      </c>
    </row>
    <row r="603" spans="1:5">
      <c r="A603" s="55" t="s">
        <v>1373</v>
      </c>
      <c r="B603" s="38">
        <v>7.9000000000000001E-2</v>
      </c>
      <c r="C603" s="38">
        <v>0.104</v>
      </c>
      <c r="D603" s="38">
        <v>0.67100000000000004</v>
      </c>
      <c r="E603" s="38">
        <v>1.641</v>
      </c>
    </row>
    <row r="604" spans="1:5">
      <c r="A604" s="55" t="s">
        <v>1374</v>
      </c>
      <c r="B604" s="38">
        <v>7.3999999999999996E-2</v>
      </c>
      <c r="C604" s="38">
        <v>9.9000000000000005E-2</v>
      </c>
      <c r="D604" s="38">
        <v>0.67400000000000004</v>
      </c>
      <c r="E604" s="38">
        <v>1.6519999999999999</v>
      </c>
    </row>
    <row r="605" spans="1:5">
      <c r="A605" s="55" t="s">
        <v>1375</v>
      </c>
      <c r="B605" s="38">
        <v>7.8E-2</v>
      </c>
      <c r="C605" s="38">
        <v>0.107</v>
      </c>
      <c r="D605" s="38">
        <v>0.70199999999999996</v>
      </c>
      <c r="E605" s="38">
        <v>1.702</v>
      </c>
    </row>
    <row r="606" spans="1:5">
      <c r="A606" s="55" t="s">
        <v>1376</v>
      </c>
      <c r="B606" s="38">
        <v>7.6999999999999999E-2</v>
      </c>
      <c r="C606" s="38">
        <v>0.108</v>
      </c>
      <c r="D606" s="38">
        <v>0.73499999999999999</v>
      </c>
      <c r="E606" s="38">
        <v>1.7410000000000001</v>
      </c>
    </row>
    <row r="607" spans="1:5">
      <c r="A607" s="55" t="s">
        <v>1377</v>
      </c>
      <c r="B607" s="38">
        <v>7.6999999999999999E-2</v>
      </c>
      <c r="C607" s="38">
        <v>0.109</v>
      </c>
      <c r="D607" s="38">
        <v>0.73799999999999999</v>
      </c>
      <c r="E607" s="38">
        <v>1.7230000000000001</v>
      </c>
    </row>
    <row r="608" spans="1:5">
      <c r="A608" s="55" t="s">
        <v>1378</v>
      </c>
      <c r="B608" s="38">
        <v>7.6999999999999999E-2</v>
      </c>
      <c r="C608" s="38">
        <v>0.111</v>
      </c>
      <c r="D608" s="38">
        <v>0.72599999999999998</v>
      </c>
      <c r="E608" s="38">
        <v>1.679</v>
      </c>
    </row>
    <row r="609" spans="1:5">
      <c r="A609" s="55" t="s">
        <v>1379</v>
      </c>
      <c r="B609" s="38">
        <v>7.3999999999999996E-2</v>
      </c>
      <c r="C609" s="38">
        <v>0.109</v>
      </c>
      <c r="D609" s="38">
        <v>0.745</v>
      </c>
      <c r="E609" s="38">
        <v>1.71</v>
      </c>
    </row>
    <row r="610" spans="1:5">
      <c r="A610" s="55" t="s">
        <v>1380</v>
      </c>
      <c r="B610" s="38">
        <v>7.0999999999999994E-2</v>
      </c>
      <c r="C610" s="38">
        <v>0.108</v>
      </c>
      <c r="D610" s="38">
        <v>0.74299999999999999</v>
      </c>
      <c r="E610" s="38">
        <v>1.7010000000000001</v>
      </c>
    </row>
    <row r="611" spans="1:5">
      <c r="A611" s="55" t="s">
        <v>1381</v>
      </c>
      <c r="B611" s="38">
        <v>6.9000000000000006E-2</v>
      </c>
      <c r="C611" s="38">
        <v>0.109</v>
      </c>
      <c r="D611" s="38">
        <v>0.72899999999999998</v>
      </c>
      <c r="E611" s="38">
        <v>1.6970000000000001</v>
      </c>
    </row>
    <row r="612" spans="1:5">
      <c r="A612" s="55" t="s">
        <v>1382</v>
      </c>
      <c r="B612" s="38">
        <v>7.0000000000000007E-2</v>
      </c>
      <c r="C612" s="38">
        <v>0.106</v>
      </c>
      <c r="D612" s="38">
        <v>0.70099999999999996</v>
      </c>
      <c r="E612" s="38">
        <v>1.6639999999999999</v>
      </c>
    </row>
    <row r="613" spans="1:5">
      <c r="A613" s="55" t="s">
        <v>1383</v>
      </c>
      <c r="B613" s="38">
        <v>6.9000000000000006E-2</v>
      </c>
      <c r="C613" s="38">
        <v>0.10299999999999999</v>
      </c>
      <c r="D613" s="38">
        <v>0.68</v>
      </c>
      <c r="E613" s="38">
        <v>1.631</v>
      </c>
    </row>
    <row r="614" spans="1:5">
      <c r="A614" s="55" t="s">
        <v>1384</v>
      </c>
      <c r="B614" s="38">
        <v>6.6000000000000003E-2</v>
      </c>
      <c r="C614" s="38">
        <v>9.8000000000000004E-2</v>
      </c>
      <c r="D614" s="38">
        <v>0.66900000000000004</v>
      </c>
      <c r="E614" s="38">
        <v>1.617</v>
      </c>
    </row>
    <row r="615" spans="1:5">
      <c r="A615" s="55" t="s">
        <v>1385</v>
      </c>
      <c r="B615" s="38">
        <v>6.0999999999999999E-2</v>
      </c>
      <c r="C615" s="38">
        <v>0.104</v>
      </c>
      <c r="D615" s="38">
        <v>0.67500000000000004</v>
      </c>
      <c r="E615" s="38">
        <v>1.6040000000000001</v>
      </c>
    </row>
    <row r="616" spans="1:5">
      <c r="A616" s="55" t="s">
        <v>1386</v>
      </c>
      <c r="B616" s="38">
        <v>5.7000000000000002E-2</v>
      </c>
      <c r="C616" s="38">
        <v>9.8000000000000004E-2</v>
      </c>
      <c r="D616" s="38">
        <v>0.66900000000000004</v>
      </c>
      <c r="E616" s="38">
        <v>1.5629999999999999</v>
      </c>
    </row>
    <row r="617" spans="1:5">
      <c r="A617" s="55" t="s">
        <v>1387</v>
      </c>
      <c r="B617" s="38">
        <v>5.8999999999999997E-2</v>
      </c>
      <c r="C617" s="38">
        <v>0.104</v>
      </c>
      <c r="D617" s="38">
        <v>0.71099999999999997</v>
      </c>
      <c r="E617" s="38">
        <v>1.6240000000000001</v>
      </c>
    </row>
    <row r="618" spans="1:5">
      <c r="A618" s="55" t="s">
        <v>1388</v>
      </c>
      <c r="B618" s="38">
        <v>5.5E-2</v>
      </c>
      <c r="C618" s="38">
        <v>0.10100000000000001</v>
      </c>
      <c r="D618" s="38">
        <v>0.71599999999999997</v>
      </c>
      <c r="E618" s="38">
        <v>1.645</v>
      </c>
    </row>
    <row r="619" spans="1:5">
      <c r="A619" s="55" t="s">
        <v>1389</v>
      </c>
      <c r="B619" s="38">
        <v>4.5999999999999999E-2</v>
      </c>
      <c r="C619" s="38">
        <v>9.6000000000000002E-2</v>
      </c>
      <c r="D619" s="38">
        <v>0.71</v>
      </c>
      <c r="E619" s="38">
        <v>1.627</v>
      </c>
    </row>
    <row r="620" spans="1:5">
      <c r="A620" s="55" t="s">
        <v>1390</v>
      </c>
      <c r="B620" s="38">
        <v>4.5999999999999999E-2</v>
      </c>
      <c r="C620" s="38">
        <v>9.8000000000000004E-2</v>
      </c>
      <c r="D620" s="38">
        <v>0.71799999999999997</v>
      </c>
      <c r="E620" s="38">
        <v>1.617</v>
      </c>
    </row>
    <row r="621" spans="1:5">
      <c r="A621" s="55" t="s">
        <v>1391</v>
      </c>
      <c r="B621" s="38">
        <v>3.9E-2</v>
      </c>
      <c r="C621" s="38">
        <v>8.8999999999999996E-2</v>
      </c>
      <c r="D621" s="38">
        <v>0.70399999999999996</v>
      </c>
      <c r="E621" s="38">
        <v>1.603</v>
      </c>
    </row>
    <row r="622" spans="1:5">
      <c r="A622" s="55" t="s">
        <v>1392</v>
      </c>
      <c r="B622" s="38">
        <v>4.2999999999999997E-2</v>
      </c>
      <c r="C622" s="38">
        <v>0.106</v>
      </c>
      <c r="D622" s="38">
        <v>0.73699999999999999</v>
      </c>
      <c r="E622" s="38">
        <v>1.6240000000000001</v>
      </c>
    </row>
    <row r="623" spans="1:5">
      <c r="A623" s="55" t="s">
        <v>1393</v>
      </c>
      <c r="B623" s="38">
        <v>4.3999999999999997E-2</v>
      </c>
      <c r="C623" s="38">
        <v>0.111</v>
      </c>
      <c r="D623" s="38">
        <v>0.71</v>
      </c>
      <c r="E623" s="38">
        <v>1.575</v>
      </c>
    </row>
    <row r="624" spans="1:5">
      <c r="A624" s="55" t="s">
        <v>1394</v>
      </c>
      <c r="B624" s="38">
        <v>4.7E-2</v>
      </c>
      <c r="C624" s="38">
        <v>0.114</v>
      </c>
      <c r="D624" s="38">
        <v>0.70599999999999996</v>
      </c>
      <c r="E624" s="38">
        <v>1.5509999999999999</v>
      </c>
    </row>
    <row r="625" spans="1:5">
      <c r="A625" s="55" t="s">
        <v>1395</v>
      </c>
      <c r="B625" s="38">
        <v>3.4000000000000002E-2</v>
      </c>
      <c r="C625" s="38">
        <v>0.106</v>
      </c>
      <c r="D625" s="38">
        <v>0.67600000000000005</v>
      </c>
      <c r="E625" s="38">
        <v>1.5169999999999999</v>
      </c>
    </row>
    <row r="626" spans="1:5">
      <c r="A626" s="55" t="s">
        <v>1396</v>
      </c>
      <c r="B626" s="38">
        <v>1.2E-2</v>
      </c>
      <c r="C626" s="38">
        <v>8.8999999999999996E-2</v>
      </c>
      <c r="D626" s="38">
        <v>0.63300000000000001</v>
      </c>
      <c r="E626" s="38">
        <v>1.4350000000000001</v>
      </c>
    </row>
    <row r="627" spans="1:5">
      <c r="A627" s="55" t="s">
        <v>1397</v>
      </c>
      <c r="B627" s="38">
        <v>-1E-3</v>
      </c>
      <c r="C627" s="38">
        <v>8.3000000000000004E-2</v>
      </c>
      <c r="D627" s="38">
        <v>0.62</v>
      </c>
      <c r="E627" s="38">
        <v>1.4359999999999999</v>
      </c>
    </row>
    <row r="628" spans="1:5">
      <c r="A628" s="55" t="s">
        <v>1398</v>
      </c>
      <c r="B628" s="38">
        <v>4.0000000000000001E-3</v>
      </c>
      <c r="C628" s="38">
        <v>8.7999999999999995E-2</v>
      </c>
      <c r="D628" s="38">
        <v>0.629</v>
      </c>
      <c r="E628" s="38">
        <v>1.446</v>
      </c>
    </row>
    <row r="629" spans="1:5">
      <c r="A629" s="55" t="s">
        <v>1399</v>
      </c>
      <c r="B629" s="38">
        <v>5.0000000000000001E-3</v>
      </c>
      <c r="C629" s="38">
        <v>9.5000000000000001E-2</v>
      </c>
      <c r="D629" s="38">
        <v>0.64900000000000002</v>
      </c>
      <c r="E629" s="38">
        <v>1.494</v>
      </c>
    </row>
    <row r="630" spans="1:5">
      <c r="A630" s="55" t="s">
        <v>1400</v>
      </c>
      <c r="B630" s="38">
        <v>1.7999999999999999E-2</v>
      </c>
      <c r="C630" s="38">
        <v>0.14899999999999999</v>
      </c>
      <c r="D630" s="38">
        <v>0.754</v>
      </c>
      <c r="E630" s="38">
        <v>1.59</v>
      </c>
    </row>
    <row r="631" spans="1:5">
      <c r="A631" s="55" t="s">
        <v>1401</v>
      </c>
      <c r="B631" s="38">
        <v>6.6000000000000003E-2</v>
      </c>
      <c r="C631" s="38">
        <v>0.184</v>
      </c>
      <c r="D631" s="38">
        <v>0.78900000000000003</v>
      </c>
      <c r="E631" s="38">
        <v>1.546</v>
      </c>
    </row>
    <row r="632" spans="1:5">
      <c r="A632" s="55" t="s">
        <v>1402</v>
      </c>
      <c r="B632" s="38">
        <v>8.4000000000000005E-2</v>
      </c>
      <c r="C632" s="38">
        <v>0.20300000000000001</v>
      </c>
      <c r="D632" s="38">
        <v>0.8</v>
      </c>
      <c r="E632" s="38">
        <v>1.474</v>
      </c>
    </row>
    <row r="633" spans="1:5">
      <c r="A633" s="55" t="s">
        <v>1403</v>
      </c>
      <c r="B633" s="38">
        <v>7.3999999999999996E-2</v>
      </c>
      <c r="C633" s="38">
        <v>0.20300000000000001</v>
      </c>
      <c r="D633" s="38">
        <v>0.82</v>
      </c>
      <c r="E633" s="38">
        <v>1.5449999999999999</v>
      </c>
    </row>
    <row r="634" spans="1:5">
      <c r="A634" s="55" t="s">
        <v>1404</v>
      </c>
      <c r="B634" s="38">
        <v>7.5999999999999998E-2</v>
      </c>
      <c r="C634" s="38">
        <v>0.19800000000000001</v>
      </c>
      <c r="D634" s="38">
        <v>0.79100000000000004</v>
      </c>
      <c r="E634" s="38">
        <v>1.5149999999999999</v>
      </c>
    </row>
    <row r="635" spans="1:5">
      <c r="A635" s="55" t="s">
        <v>1405</v>
      </c>
      <c r="B635" s="38">
        <v>7.0000000000000007E-2</v>
      </c>
      <c r="C635" s="38">
        <v>0.193</v>
      </c>
      <c r="D635" s="38">
        <v>0.78200000000000003</v>
      </c>
      <c r="E635" s="38">
        <v>1.522</v>
      </c>
    </row>
    <row r="636" spans="1:5">
      <c r="A636" s="55" t="s">
        <v>1406</v>
      </c>
      <c r="B636" s="38">
        <v>7.1999999999999995E-2</v>
      </c>
      <c r="C636" s="38">
        <v>0.20899999999999999</v>
      </c>
      <c r="D636" s="38">
        <v>0.81200000000000006</v>
      </c>
      <c r="E636" s="38">
        <v>1.5189999999999999</v>
      </c>
    </row>
    <row r="637" spans="1:5">
      <c r="A637" s="55" t="s">
        <v>1407</v>
      </c>
      <c r="B637" s="38">
        <v>7.0000000000000007E-2</v>
      </c>
      <c r="C637" s="38">
        <v>0.20200000000000001</v>
      </c>
      <c r="D637" s="38">
        <v>0.78900000000000003</v>
      </c>
      <c r="E637" s="38">
        <v>1.5389999999999999</v>
      </c>
    </row>
    <row r="638" spans="1:5">
      <c r="A638" s="55" t="s">
        <v>1408</v>
      </c>
      <c r="B638" s="38">
        <v>6.8000000000000005E-2</v>
      </c>
      <c r="C638" s="38">
        <v>0.19900000000000001</v>
      </c>
      <c r="D638" s="38">
        <v>0.77400000000000002</v>
      </c>
      <c r="E638" s="38">
        <v>1.496</v>
      </c>
    </row>
    <row r="639" spans="1:5">
      <c r="A639" s="55" t="s">
        <v>1409</v>
      </c>
      <c r="B639" s="38">
        <v>6.5000000000000002E-2</v>
      </c>
      <c r="C639" s="38">
        <v>0.19700000000000001</v>
      </c>
      <c r="D639" s="38">
        <v>0.77</v>
      </c>
      <c r="E639" s="38">
        <v>1.486</v>
      </c>
    </row>
    <row r="640" spans="1:5">
      <c r="A640" s="55" t="s">
        <v>1410</v>
      </c>
      <c r="B640" s="38">
        <v>5.8000000000000003E-2</v>
      </c>
      <c r="C640" s="38">
        <v>0.19400000000000001</v>
      </c>
      <c r="D640" s="38">
        <v>0.76700000000000002</v>
      </c>
      <c r="E640" s="38">
        <v>1.4770000000000001</v>
      </c>
    </row>
    <row r="641" spans="1:5">
      <c r="A641" s="55" t="s">
        <v>1411</v>
      </c>
      <c r="B641" s="38">
        <v>5.7000000000000002E-2</v>
      </c>
      <c r="C641" s="38">
        <v>0.186</v>
      </c>
      <c r="D641" s="38">
        <v>0.74099999999999999</v>
      </c>
      <c r="E641" s="38">
        <v>1.4339999999999999</v>
      </c>
    </row>
    <row r="642" spans="1:5">
      <c r="A642" s="55" t="s">
        <v>1412</v>
      </c>
      <c r="B642" s="38">
        <v>5.8000000000000003E-2</v>
      </c>
      <c r="C642" s="38">
        <v>0.185</v>
      </c>
      <c r="D642" s="38">
        <v>0.71899999999999997</v>
      </c>
      <c r="E642" s="38">
        <v>1.391</v>
      </c>
    </row>
    <row r="643" spans="1:5">
      <c r="A643" s="55" t="s">
        <v>1413</v>
      </c>
      <c r="B643" s="38">
        <v>6.7000000000000004E-2</v>
      </c>
      <c r="C643" s="38">
        <v>0.224</v>
      </c>
      <c r="D643" s="38">
        <v>0.78700000000000003</v>
      </c>
      <c r="E643" s="38">
        <v>1.4279999999999999</v>
      </c>
    </row>
    <row r="644" spans="1:5">
      <c r="A644" s="55" t="s">
        <v>1414</v>
      </c>
      <c r="B644" s="38">
        <v>6.6000000000000003E-2</v>
      </c>
      <c r="C644" s="38">
        <v>0.20699999999999999</v>
      </c>
      <c r="D644" s="38">
        <v>0.72899999999999998</v>
      </c>
      <c r="E644" s="38">
        <v>1.351</v>
      </c>
    </row>
    <row r="645" spans="1:5">
      <c r="A645" s="55" t="s">
        <v>1415</v>
      </c>
      <c r="B645" s="38">
        <v>6.4000000000000001E-2</v>
      </c>
      <c r="C645" s="38">
        <v>0.189</v>
      </c>
      <c r="D645" s="38">
        <v>0.68200000000000005</v>
      </c>
      <c r="E645" s="38">
        <v>1.282</v>
      </c>
    </row>
    <row r="646" spans="1:5">
      <c r="A646" s="55" t="s">
        <v>1416</v>
      </c>
      <c r="B646" s="38">
        <v>6.2E-2</v>
      </c>
      <c r="C646" s="38">
        <v>0.187</v>
      </c>
      <c r="D646" s="38">
        <v>0.69099999999999995</v>
      </c>
      <c r="E646" s="38">
        <v>1.323</v>
      </c>
    </row>
    <row r="647" spans="1:5">
      <c r="A647" s="55" t="s">
        <v>1417</v>
      </c>
      <c r="B647" s="38">
        <v>5.6000000000000001E-2</v>
      </c>
      <c r="C647" s="38">
        <v>0.16600000000000001</v>
      </c>
      <c r="D647" s="38">
        <v>0.64300000000000002</v>
      </c>
      <c r="E647" s="38">
        <v>1.2789999999999999</v>
      </c>
    </row>
    <row r="648" spans="1:5">
      <c r="A648" s="55" t="s">
        <v>1418</v>
      </c>
      <c r="B648" s="38">
        <v>5.8000000000000003E-2</v>
      </c>
      <c r="C648" s="38">
        <v>0.16600000000000001</v>
      </c>
      <c r="D648" s="38">
        <v>0.64200000000000002</v>
      </c>
      <c r="E648" s="38">
        <v>1.29</v>
      </c>
    </row>
    <row r="649" spans="1:5">
      <c r="A649" s="55" t="s">
        <v>1419</v>
      </c>
      <c r="B649" s="38">
        <v>4.7E-2</v>
      </c>
      <c r="C649" s="38">
        <v>0.161</v>
      </c>
      <c r="D649" s="38">
        <v>0.66300000000000003</v>
      </c>
      <c r="E649" s="38">
        <v>1.304</v>
      </c>
    </row>
    <row r="650" spans="1:5">
      <c r="A650" s="55" t="s">
        <v>1420</v>
      </c>
      <c r="B650" s="38">
        <v>4.7E-2</v>
      </c>
      <c r="C650" s="38">
        <v>0.14899999999999999</v>
      </c>
      <c r="D650" s="38">
        <v>0.63</v>
      </c>
      <c r="E650" s="38">
        <v>1.2529999999999999</v>
      </c>
    </row>
    <row r="651" spans="1:5">
      <c r="A651" s="55" t="s">
        <v>1421</v>
      </c>
      <c r="B651" s="38">
        <v>4.4999999999999998E-2</v>
      </c>
      <c r="C651" s="38">
        <v>0.151</v>
      </c>
      <c r="D651" s="38">
        <v>0.63300000000000001</v>
      </c>
      <c r="E651" s="38">
        <v>1.248</v>
      </c>
    </row>
    <row r="652" spans="1:5">
      <c r="A652" s="55" t="s">
        <v>1422</v>
      </c>
      <c r="B652" s="38">
        <v>3.9E-2</v>
      </c>
      <c r="C652" s="38">
        <v>0.14399999999999999</v>
      </c>
      <c r="D652" s="38">
        <v>0.60099999999999998</v>
      </c>
      <c r="E652" s="38">
        <v>1.2110000000000001</v>
      </c>
    </row>
    <row r="653" spans="1:5">
      <c r="A653" s="55" t="s">
        <v>1423</v>
      </c>
      <c r="B653" s="38">
        <v>2.9000000000000001E-2</v>
      </c>
      <c r="C653" s="38">
        <v>0.122</v>
      </c>
      <c r="D653" s="38">
        <v>0.55900000000000005</v>
      </c>
      <c r="E653" s="38">
        <v>1.149</v>
      </c>
    </row>
    <row r="654" spans="1:5">
      <c r="A654" s="55" t="s">
        <v>1424</v>
      </c>
      <c r="B654" s="38">
        <v>0.03</v>
      </c>
      <c r="C654" s="38">
        <v>0.11899999999999999</v>
      </c>
      <c r="D654" s="38">
        <v>0.54600000000000004</v>
      </c>
      <c r="E654" s="38">
        <v>1.1279999999999999</v>
      </c>
    </row>
    <row r="655" spans="1:5">
      <c r="A655" s="55" t="s">
        <v>1425</v>
      </c>
      <c r="B655" s="38">
        <v>2.8000000000000001E-2</v>
      </c>
      <c r="C655" s="38">
        <v>0.128</v>
      </c>
      <c r="D655" s="38">
        <v>0.57599999999999996</v>
      </c>
      <c r="E655" s="38">
        <v>1.1579999999999999</v>
      </c>
    </row>
    <row r="656" spans="1:5">
      <c r="A656" s="55" t="s">
        <v>1426</v>
      </c>
      <c r="B656" s="38">
        <v>2.8000000000000001E-2</v>
      </c>
      <c r="C656" s="38">
        <v>0.13300000000000001</v>
      </c>
      <c r="D656" s="38">
        <v>0.58699999999999997</v>
      </c>
      <c r="E656" s="38">
        <v>1.1639999999999999</v>
      </c>
    </row>
    <row r="657" spans="1:5">
      <c r="A657" s="55" t="s">
        <v>1427</v>
      </c>
      <c r="B657" s="38">
        <v>3.1E-2</v>
      </c>
      <c r="C657" s="38">
        <v>0.13700000000000001</v>
      </c>
      <c r="D657" s="38">
        <v>0.57499999999999996</v>
      </c>
      <c r="E657" s="38">
        <v>1.1499999999999999</v>
      </c>
    </row>
    <row r="658" spans="1:5">
      <c r="A658" s="55" t="s">
        <v>1428</v>
      </c>
      <c r="B658" s="38">
        <v>2.9000000000000001E-2</v>
      </c>
      <c r="C658" s="38">
        <v>0.13800000000000001</v>
      </c>
      <c r="D658" s="38">
        <v>0.58099999999999996</v>
      </c>
      <c r="E658" s="38">
        <v>1.1759999999999999</v>
      </c>
    </row>
    <row r="659" spans="1:5">
      <c r="A659" s="55" t="s">
        <v>1429</v>
      </c>
      <c r="B659" s="38">
        <v>2.5000000000000001E-2</v>
      </c>
      <c r="C659" s="38">
        <v>0.126</v>
      </c>
      <c r="D659" s="38">
        <v>0.54900000000000004</v>
      </c>
      <c r="E659" s="38">
        <v>1.1220000000000001</v>
      </c>
    </row>
    <row r="660" spans="1:5">
      <c r="A660" s="55" t="s">
        <v>1430</v>
      </c>
      <c r="B660" s="38">
        <v>2.1000000000000001E-2</v>
      </c>
      <c r="C660" s="38">
        <v>0.124</v>
      </c>
      <c r="D660" s="38">
        <v>0.54500000000000004</v>
      </c>
      <c r="E660" s="38">
        <v>1.123</v>
      </c>
    </row>
    <row r="661" spans="1:5">
      <c r="A661" s="55" t="s">
        <v>1431</v>
      </c>
      <c r="B661" s="38">
        <v>2.1999999999999999E-2</v>
      </c>
      <c r="C661" s="38">
        <v>0.13100000000000001</v>
      </c>
      <c r="D661" s="38">
        <v>0.55800000000000005</v>
      </c>
      <c r="E661" s="38">
        <v>1.149</v>
      </c>
    </row>
    <row r="662" spans="1:5">
      <c r="A662" s="55" t="s">
        <v>1432</v>
      </c>
      <c r="B662" s="38">
        <v>2.4E-2</v>
      </c>
      <c r="C662" s="38">
        <v>0.14099999999999999</v>
      </c>
      <c r="D662" s="38">
        <v>0.56000000000000005</v>
      </c>
      <c r="E662" s="38">
        <v>1.125</v>
      </c>
    </row>
    <row r="663" spans="1:5">
      <c r="A663" s="55" t="s">
        <v>1433</v>
      </c>
      <c r="B663" s="38">
        <v>2.4E-2</v>
      </c>
      <c r="C663" s="38">
        <v>0.14299999999999999</v>
      </c>
      <c r="D663" s="38">
        <v>0.55700000000000005</v>
      </c>
      <c r="E663" s="38">
        <v>1.1160000000000001</v>
      </c>
    </row>
    <row r="664" spans="1:5">
      <c r="A664" s="55" t="s">
        <v>1434</v>
      </c>
      <c r="B664" s="38">
        <v>2.9000000000000001E-2</v>
      </c>
      <c r="C664" s="38">
        <v>0.152</v>
      </c>
      <c r="D664" s="38">
        <v>0.57399999999999995</v>
      </c>
      <c r="E664" s="38">
        <v>1.127</v>
      </c>
    </row>
    <row r="665" spans="1:5">
      <c r="A665" s="55" t="s">
        <v>1435</v>
      </c>
      <c r="B665" s="38">
        <v>0.04</v>
      </c>
      <c r="C665" s="38">
        <v>0.17</v>
      </c>
      <c r="D665" s="38">
        <v>0.60599999999999998</v>
      </c>
      <c r="E665" s="38">
        <v>1.163</v>
      </c>
    </row>
    <row r="666" spans="1:5">
      <c r="A666" s="55" t="s">
        <v>1436</v>
      </c>
      <c r="B666" s="38">
        <v>3.9E-2</v>
      </c>
      <c r="C666" s="38">
        <v>0.18099999999999999</v>
      </c>
      <c r="D666" s="38">
        <v>0.61799999999999999</v>
      </c>
      <c r="E666" s="38">
        <v>1.177</v>
      </c>
    </row>
    <row r="667" spans="1:5">
      <c r="A667" s="55" t="s">
        <v>1437</v>
      </c>
      <c r="B667" s="38">
        <v>0.04</v>
      </c>
      <c r="C667" s="38">
        <v>0.185</v>
      </c>
      <c r="D667" s="38">
        <v>0.61599999999999999</v>
      </c>
      <c r="E667" s="38">
        <v>1.1739999999999999</v>
      </c>
    </row>
    <row r="668" spans="1:5">
      <c r="A668" s="55" t="s">
        <v>1438</v>
      </c>
      <c r="B668" s="38">
        <v>4.1000000000000002E-2</v>
      </c>
      <c r="C668" s="38">
        <v>0.19</v>
      </c>
      <c r="D668" s="38">
        <v>0.63</v>
      </c>
      <c r="E668" s="38">
        <v>1.194</v>
      </c>
    </row>
    <row r="669" spans="1:5">
      <c r="A669" s="55" t="s">
        <v>1439</v>
      </c>
      <c r="B669" s="38">
        <v>0.04</v>
      </c>
      <c r="C669" s="38">
        <v>0.17899999999999999</v>
      </c>
      <c r="D669" s="38">
        <v>0.60699999999999998</v>
      </c>
      <c r="E669" s="38">
        <v>1.1599999999999999</v>
      </c>
    </row>
    <row r="670" spans="1:5">
      <c r="A670" s="55" t="s">
        <v>1440</v>
      </c>
      <c r="B670" s="38">
        <v>3.9E-2</v>
      </c>
      <c r="C670" s="38">
        <v>0.183</v>
      </c>
      <c r="D670" s="38">
        <v>0.61899999999999999</v>
      </c>
      <c r="E670" s="38">
        <v>1.19</v>
      </c>
    </row>
    <row r="671" spans="1:5">
      <c r="A671" s="55" t="s">
        <v>1441</v>
      </c>
      <c r="B671" s="38">
        <v>3.3000000000000002E-2</v>
      </c>
      <c r="C671" s="38">
        <v>0.157</v>
      </c>
      <c r="D671" s="38">
        <v>0.57199999999999995</v>
      </c>
      <c r="E671" s="38">
        <v>1.1319999999999999</v>
      </c>
    </row>
    <row r="672" spans="1:5">
      <c r="A672" s="55" t="s">
        <v>1442</v>
      </c>
      <c r="B672" s="38">
        <v>2.9000000000000001E-2</v>
      </c>
      <c r="C672" s="38">
        <v>0.14099999999999999</v>
      </c>
      <c r="D672" s="38">
        <v>0.55500000000000005</v>
      </c>
      <c r="E672" s="38">
        <v>1.113</v>
      </c>
    </row>
    <row r="673" spans="1:5">
      <c r="A673" s="55" t="s">
        <v>1443</v>
      </c>
      <c r="B673" s="38">
        <v>2.7E-2</v>
      </c>
      <c r="C673" s="38">
        <v>0.13300000000000001</v>
      </c>
      <c r="D673" s="38">
        <v>0.54600000000000004</v>
      </c>
      <c r="E673" s="38">
        <v>1.1140000000000001</v>
      </c>
    </row>
    <row r="674" spans="1:5">
      <c r="A674" s="55" t="s">
        <v>1444</v>
      </c>
      <c r="B674" s="38">
        <v>2.5000000000000001E-2</v>
      </c>
      <c r="C674" s="38">
        <v>0.11600000000000001</v>
      </c>
      <c r="D674" s="38">
        <v>0.51500000000000001</v>
      </c>
      <c r="E674" s="38">
        <v>1.0549999999999999</v>
      </c>
    </row>
    <row r="675" spans="1:5">
      <c r="A675" s="55" t="s">
        <v>1445</v>
      </c>
      <c r="B675" s="38">
        <v>1.0999999999999999E-2</v>
      </c>
      <c r="C675" s="38">
        <v>0.10299999999999999</v>
      </c>
      <c r="D675" s="38">
        <v>0.501</v>
      </c>
      <c r="E675" s="38">
        <v>1.056</v>
      </c>
    </row>
    <row r="676" spans="1:5">
      <c r="A676" s="55" t="s">
        <v>1446</v>
      </c>
      <c r="B676" s="38">
        <v>1.0999999999999999E-2</v>
      </c>
      <c r="C676" s="38">
        <v>0.112</v>
      </c>
      <c r="D676" s="38">
        <v>0.51100000000000001</v>
      </c>
      <c r="E676" s="38">
        <v>1.0720000000000001</v>
      </c>
    </row>
    <row r="677" spans="1:5">
      <c r="A677" s="55" t="s">
        <v>1447</v>
      </c>
      <c r="B677" s="38">
        <v>1.2999999999999999E-2</v>
      </c>
      <c r="C677" s="38">
        <v>0.13300000000000001</v>
      </c>
      <c r="D677" s="38">
        <v>0.55000000000000004</v>
      </c>
      <c r="E677" s="38">
        <v>1.1279999999999999</v>
      </c>
    </row>
    <row r="678" spans="1:5">
      <c r="A678" s="55" t="s">
        <v>1448</v>
      </c>
      <c r="B678" s="38">
        <v>1.7000000000000001E-2</v>
      </c>
      <c r="C678" s="38">
        <v>0.14599999999999999</v>
      </c>
      <c r="D678" s="38">
        <v>0.56599999999999995</v>
      </c>
      <c r="E678" s="38">
        <v>1.133</v>
      </c>
    </row>
    <row r="679" spans="1:5">
      <c r="A679" s="55" t="s">
        <v>1449</v>
      </c>
      <c r="B679" s="38">
        <v>1.7000000000000001E-2</v>
      </c>
      <c r="C679" s="38">
        <v>0.159</v>
      </c>
      <c r="D679" s="38">
        <v>0.59299999999999997</v>
      </c>
      <c r="E679" s="38">
        <v>1.1639999999999999</v>
      </c>
    </row>
    <row r="680" spans="1:5">
      <c r="A680" s="55" t="s">
        <v>1450</v>
      </c>
      <c r="B680" s="38">
        <v>1.7999999999999999E-2</v>
      </c>
      <c r="C680" s="38">
        <v>0.16800000000000001</v>
      </c>
      <c r="D680" s="38">
        <v>0.61299999999999999</v>
      </c>
      <c r="E680" s="38">
        <v>1.1659999999999999</v>
      </c>
    </row>
    <row r="681" spans="1:5">
      <c r="A681" s="55" t="s">
        <v>1451</v>
      </c>
      <c r="B681" s="38">
        <v>1.6E-2</v>
      </c>
      <c r="C681" s="38">
        <v>0.14599999999999999</v>
      </c>
      <c r="D681" s="38">
        <v>0.57799999999999996</v>
      </c>
      <c r="E681" s="38">
        <v>1.1359999999999999</v>
      </c>
    </row>
    <row r="682" spans="1:5">
      <c r="A682" s="55" t="s">
        <v>1452</v>
      </c>
      <c r="B682" s="38">
        <v>8.9999999999999993E-3</v>
      </c>
      <c r="C682" s="38">
        <v>0.15</v>
      </c>
      <c r="D682" s="38">
        <v>0.58399999999999996</v>
      </c>
      <c r="E682" s="38">
        <v>1.1319999999999999</v>
      </c>
    </row>
    <row r="683" spans="1:5">
      <c r="A683" s="55" t="s">
        <v>1453</v>
      </c>
      <c r="B683" s="38">
        <v>8.9999999999999993E-3</v>
      </c>
      <c r="C683" s="38">
        <v>0.18</v>
      </c>
      <c r="D683" s="38">
        <v>0.64100000000000001</v>
      </c>
      <c r="E683" s="38">
        <v>1.222</v>
      </c>
    </row>
    <row r="684" spans="1:5">
      <c r="A684" s="55" t="s">
        <v>1454</v>
      </c>
      <c r="B684" s="38">
        <v>8.0000000000000002E-3</v>
      </c>
      <c r="C684" s="38">
        <v>0.17299999999999999</v>
      </c>
      <c r="D684" s="38">
        <v>0.62</v>
      </c>
      <c r="E684" s="38">
        <v>1.1830000000000001</v>
      </c>
    </row>
    <row r="685" spans="1:5">
      <c r="A685" s="55" t="s">
        <v>1455</v>
      </c>
      <c r="B685" s="38">
        <v>8.0000000000000002E-3</v>
      </c>
      <c r="C685" s="38">
        <v>0.17699999999999999</v>
      </c>
      <c r="D685" s="38">
        <v>0.628</v>
      </c>
      <c r="E685" s="38">
        <v>1.2</v>
      </c>
    </row>
    <row r="686" spans="1:5">
      <c r="A686" s="55" t="s">
        <v>1456</v>
      </c>
      <c r="B686" s="38">
        <v>8.0000000000000002E-3</v>
      </c>
      <c r="C686" s="38">
        <v>0.184</v>
      </c>
      <c r="D686" s="38">
        <v>0.64700000000000002</v>
      </c>
      <c r="E686" s="38">
        <v>1.236</v>
      </c>
    </row>
    <row r="687" spans="1:5">
      <c r="A687" s="55" t="s">
        <v>1457</v>
      </c>
      <c r="B687" s="38">
        <v>8.9999999999999993E-3</v>
      </c>
      <c r="C687" s="38">
        <v>0.187</v>
      </c>
      <c r="D687" s="38">
        <v>0.65100000000000002</v>
      </c>
      <c r="E687" s="38">
        <v>1.236</v>
      </c>
    </row>
    <row r="688" spans="1:5">
      <c r="A688" s="55" t="s">
        <v>1458</v>
      </c>
      <c r="B688" s="38">
        <v>0.01</v>
      </c>
      <c r="C688" s="38">
        <v>0.19500000000000001</v>
      </c>
      <c r="D688" s="38">
        <v>0.67400000000000004</v>
      </c>
      <c r="E688" s="38">
        <v>1.278</v>
      </c>
    </row>
    <row r="689" spans="1:5">
      <c r="A689" s="55" t="s">
        <v>1459</v>
      </c>
      <c r="B689" s="38">
        <v>0.01</v>
      </c>
      <c r="C689" s="38">
        <v>0.192</v>
      </c>
      <c r="D689" s="38">
        <v>0.66600000000000004</v>
      </c>
      <c r="E689" s="38">
        <v>1.25</v>
      </c>
    </row>
    <row r="690" spans="1:5">
      <c r="A690" s="55" t="s">
        <v>1460</v>
      </c>
      <c r="B690" s="38">
        <v>8.0000000000000002E-3</v>
      </c>
      <c r="C690" s="38">
        <v>0.17599999999999999</v>
      </c>
      <c r="D690" s="38">
        <v>0.63500000000000001</v>
      </c>
      <c r="E690" s="38">
        <v>1.2030000000000001</v>
      </c>
    </row>
    <row r="691" spans="1:5">
      <c r="A691" s="55" t="s">
        <v>1461</v>
      </c>
      <c r="B691" s="38">
        <v>6.0000000000000001E-3</v>
      </c>
      <c r="C691" s="38">
        <v>0.17499999999999999</v>
      </c>
      <c r="D691" s="38">
        <v>0.64400000000000002</v>
      </c>
      <c r="E691" s="38">
        <v>1.256</v>
      </c>
    </row>
    <row r="692" spans="1:5">
      <c r="A692" s="55" t="s">
        <v>1462</v>
      </c>
      <c r="B692" s="38">
        <v>2E-3</v>
      </c>
      <c r="C692" s="38">
        <v>0.152</v>
      </c>
      <c r="D692" s="38">
        <v>0.61699999999999999</v>
      </c>
      <c r="E692" s="38">
        <v>1.234</v>
      </c>
    </row>
    <row r="693" spans="1:5">
      <c r="A693" s="55" t="s">
        <v>1463</v>
      </c>
      <c r="B693" s="38">
        <v>7.0000000000000001E-3</v>
      </c>
      <c r="C693" s="38">
        <v>0.13700000000000001</v>
      </c>
      <c r="D693" s="38">
        <v>0.58699999999999997</v>
      </c>
      <c r="E693" s="38">
        <v>1.1890000000000001</v>
      </c>
    </row>
    <row r="694" spans="1:5">
      <c r="A694" s="55" t="s">
        <v>1464</v>
      </c>
      <c r="B694" s="38">
        <v>8.0000000000000002E-3</v>
      </c>
      <c r="C694" s="38">
        <v>0.157</v>
      </c>
      <c r="D694" s="38">
        <v>0.61599999999999999</v>
      </c>
      <c r="E694" s="38">
        <v>1.244</v>
      </c>
    </row>
    <row r="695" spans="1:5">
      <c r="A695" s="55" t="s">
        <v>1465</v>
      </c>
      <c r="B695" s="38">
        <v>8.0000000000000002E-3</v>
      </c>
      <c r="C695" s="38">
        <v>0.17100000000000001</v>
      </c>
      <c r="D695" s="38">
        <v>0.64400000000000002</v>
      </c>
      <c r="E695" s="38">
        <v>1.284</v>
      </c>
    </row>
    <row r="696" spans="1:5">
      <c r="A696" s="55" t="s">
        <v>1466</v>
      </c>
      <c r="B696" s="38">
        <v>8.0000000000000002E-3</v>
      </c>
      <c r="C696" s="38">
        <v>0.17299999999999999</v>
      </c>
      <c r="D696" s="38">
        <v>0.64800000000000002</v>
      </c>
      <c r="E696" s="38">
        <v>1.2849999999999999</v>
      </c>
    </row>
    <row r="697" spans="1:5">
      <c r="A697" s="55" t="s">
        <v>1467</v>
      </c>
      <c r="B697" s="38">
        <v>8.0000000000000002E-3</v>
      </c>
      <c r="C697" s="38">
        <v>0.16200000000000001</v>
      </c>
      <c r="D697" s="38">
        <v>0.626</v>
      </c>
      <c r="E697" s="38">
        <v>1.252</v>
      </c>
    </row>
    <row r="698" spans="1:5">
      <c r="A698" s="55" t="s">
        <v>1468</v>
      </c>
      <c r="B698" s="38">
        <v>8.9999999999999993E-3</v>
      </c>
      <c r="C698" s="38">
        <v>0.161</v>
      </c>
      <c r="D698" s="38">
        <v>0.627</v>
      </c>
      <c r="E698" s="38">
        <v>1.2370000000000001</v>
      </c>
    </row>
    <row r="699" spans="1:5">
      <c r="A699" s="55" t="s">
        <v>1469</v>
      </c>
      <c r="B699" s="38">
        <v>8.9999999999999993E-3</v>
      </c>
      <c r="C699" s="38">
        <v>0.17699999999999999</v>
      </c>
      <c r="D699" s="38">
        <v>0.64100000000000001</v>
      </c>
      <c r="E699" s="38">
        <v>1.2430000000000001</v>
      </c>
    </row>
    <row r="700" spans="1:5">
      <c r="A700" s="55" t="s">
        <v>1470</v>
      </c>
      <c r="B700" s="38">
        <v>1.2999999999999999E-2</v>
      </c>
      <c r="C700" s="38">
        <v>0.218</v>
      </c>
      <c r="D700" s="38">
        <v>0.73299999999999998</v>
      </c>
      <c r="E700" s="38">
        <v>1.387</v>
      </c>
    </row>
    <row r="701" spans="1:5">
      <c r="A701" s="55" t="s">
        <v>1471</v>
      </c>
      <c r="B701" s="38">
        <v>1.6E-2</v>
      </c>
      <c r="C701" s="38">
        <v>0.219</v>
      </c>
      <c r="D701" s="38">
        <v>0.73</v>
      </c>
      <c r="E701" s="38">
        <v>1.393</v>
      </c>
    </row>
    <row r="702" spans="1:5">
      <c r="A702" s="55" t="s">
        <v>1472</v>
      </c>
      <c r="B702" s="38">
        <v>2.4E-2</v>
      </c>
      <c r="C702" s="38">
        <v>0.23899999999999999</v>
      </c>
      <c r="D702" s="38">
        <v>0.77900000000000003</v>
      </c>
      <c r="E702" s="38">
        <v>1.462</v>
      </c>
    </row>
    <row r="703" spans="1:5">
      <c r="A703" s="55" t="s">
        <v>1473</v>
      </c>
      <c r="B703" s="38">
        <v>2.5999999999999999E-2</v>
      </c>
      <c r="C703" s="38">
        <v>0.23300000000000001</v>
      </c>
      <c r="D703" s="38">
        <v>0.77700000000000002</v>
      </c>
      <c r="E703" s="38">
        <v>1.4670000000000001</v>
      </c>
    </row>
    <row r="704" spans="1:5">
      <c r="A704" s="55" t="s">
        <v>1474</v>
      </c>
      <c r="B704" s="38">
        <v>3.5000000000000003E-2</v>
      </c>
      <c r="C704" s="38">
        <v>0.24399999999999999</v>
      </c>
      <c r="D704" s="38">
        <v>0.78</v>
      </c>
      <c r="E704" s="38">
        <v>1.4730000000000001</v>
      </c>
    </row>
    <row r="705" spans="1:5">
      <c r="A705" s="55" t="s">
        <v>1475</v>
      </c>
      <c r="B705" s="38">
        <v>3.9E-2</v>
      </c>
      <c r="C705" s="38">
        <v>0.26300000000000001</v>
      </c>
      <c r="D705" s="38">
        <v>0.79100000000000004</v>
      </c>
      <c r="E705" s="38">
        <v>1.4730000000000001</v>
      </c>
    </row>
    <row r="706" spans="1:5">
      <c r="A706" s="55" t="s">
        <v>1476</v>
      </c>
      <c r="B706" s="38">
        <v>6.8000000000000005E-2</v>
      </c>
      <c r="C706" s="38">
        <v>0.28599999999999998</v>
      </c>
      <c r="D706" s="38">
        <v>0.80100000000000005</v>
      </c>
      <c r="E706" s="38">
        <v>1.4990000000000001</v>
      </c>
    </row>
    <row r="707" spans="1:5">
      <c r="A707" s="55" t="s">
        <v>1477</v>
      </c>
      <c r="B707" s="38">
        <v>8.4000000000000005E-2</v>
      </c>
      <c r="C707" s="38">
        <v>0.32100000000000001</v>
      </c>
      <c r="D707" s="38">
        <v>0.85299999999999998</v>
      </c>
      <c r="E707" s="38">
        <v>1.593</v>
      </c>
    </row>
    <row r="708" spans="1:5">
      <c r="A708" s="55" t="s">
        <v>1478</v>
      </c>
      <c r="B708" s="38">
        <v>8.5999999999999993E-2</v>
      </c>
      <c r="C708" s="38">
        <v>0.35199999999999998</v>
      </c>
      <c r="D708" s="38">
        <v>0.86899999999999999</v>
      </c>
      <c r="E708" s="38">
        <v>1.57</v>
      </c>
    </row>
    <row r="709" spans="1:5">
      <c r="A709" s="55" t="s">
        <v>1479</v>
      </c>
      <c r="B709" s="38">
        <v>8.5999999999999993E-2</v>
      </c>
      <c r="C709" s="38">
        <v>0.39100000000000001</v>
      </c>
      <c r="D709" s="38">
        <v>0.93500000000000005</v>
      </c>
      <c r="E709" s="38">
        <v>1.6240000000000001</v>
      </c>
    </row>
    <row r="710" spans="1:5">
      <c r="A710" s="55" t="s">
        <v>1480</v>
      </c>
      <c r="B710" s="38">
        <v>0.20300000000000001</v>
      </c>
      <c r="C710" s="38">
        <v>0.48599999999999999</v>
      </c>
      <c r="D710" s="38">
        <v>0.999</v>
      </c>
      <c r="E710" s="38">
        <v>1.704</v>
      </c>
    </row>
    <row r="711" spans="1:5">
      <c r="A711" s="55" t="s">
        <v>1481</v>
      </c>
      <c r="B711" s="38">
        <v>9.6000000000000002E-2</v>
      </c>
      <c r="C711" s="38">
        <v>0.48499999999999999</v>
      </c>
      <c r="D711" s="38">
        <v>1.038</v>
      </c>
      <c r="E711" s="38">
        <v>1.71</v>
      </c>
    </row>
    <row r="712" spans="1:5">
      <c r="A712" s="55" t="s">
        <v>1482</v>
      </c>
      <c r="B712" s="38">
        <v>9.7000000000000003E-2</v>
      </c>
      <c r="C712" s="38">
        <v>0.46899999999999997</v>
      </c>
      <c r="D712" s="38">
        <v>1.016</v>
      </c>
      <c r="E712" s="38">
        <v>1.6759999999999999</v>
      </c>
    </row>
    <row r="713" spans="1:5">
      <c r="A713" s="55" t="s">
        <v>1483</v>
      </c>
      <c r="B713" s="38">
        <v>9.8000000000000004E-2</v>
      </c>
      <c r="C713" s="38">
        <v>0.47199999999999998</v>
      </c>
      <c r="D713" s="38">
        <v>1.0009999999999999</v>
      </c>
      <c r="E713" s="38">
        <v>1.613</v>
      </c>
    </row>
    <row r="714" spans="1:5">
      <c r="A714" s="55" t="s">
        <v>1484</v>
      </c>
      <c r="B714" s="38">
        <v>0.10199999999999999</v>
      </c>
      <c r="C714" s="38">
        <v>0.504</v>
      </c>
      <c r="D714" s="38">
        <v>1.03</v>
      </c>
      <c r="E714" s="38">
        <v>1.639</v>
      </c>
    </row>
    <row r="715" spans="1:5">
      <c r="A715" s="55" t="s">
        <v>1485</v>
      </c>
      <c r="B715" s="38">
        <v>0.13</v>
      </c>
      <c r="C715" s="38">
        <v>0.67900000000000005</v>
      </c>
      <c r="D715" s="38">
        <v>1.1930000000000001</v>
      </c>
      <c r="E715" s="38">
        <v>1.7330000000000001</v>
      </c>
    </row>
    <row r="716" spans="1:5">
      <c r="A716" s="55" t="s">
        <v>1486</v>
      </c>
      <c r="B716" s="38">
        <v>0.13700000000000001</v>
      </c>
      <c r="C716" s="38">
        <v>0.66700000000000004</v>
      </c>
      <c r="D716" s="38">
        <v>1.1879999999999999</v>
      </c>
      <c r="E716" s="38">
        <v>1.714</v>
      </c>
    </row>
    <row r="717" spans="1:5">
      <c r="A717" s="55" t="s">
        <v>1487</v>
      </c>
      <c r="B717" s="38">
        <v>0.14399999999999999</v>
      </c>
      <c r="C717" s="38">
        <v>0.66300000000000003</v>
      </c>
      <c r="D717" s="38">
        <v>1.21</v>
      </c>
      <c r="E717" s="38">
        <v>1.7989999999999999</v>
      </c>
    </row>
    <row r="718" spans="1:5">
      <c r="A718" s="55" t="s">
        <v>1488</v>
      </c>
      <c r="B718" s="38">
        <v>0.155</v>
      </c>
      <c r="C718" s="38">
        <v>0.63700000000000001</v>
      </c>
      <c r="D718" s="38">
        <v>1.175</v>
      </c>
      <c r="E718" s="38">
        <v>1.7789999999999999</v>
      </c>
    </row>
    <row r="719" spans="1:5">
      <c r="A719" s="55" t="s">
        <v>1489</v>
      </c>
      <c r="B719" s="38">
        <v>0.121</v>
      </c>
      <c r="C719" s="38">
        <v>0.64500000000000002</v>
      </c>
      <c r="D719" s="38">
        <v>1.194</v>
      </c>
      <c r="E719" s="38">
        <v>1.79</v>
      </c>
    </row>
    <row r="720" spans="1:5">
      <c r="A720" s="55" t="s">
        <v>1490</v>
      </c>
      <c r="B720" s="38">
        <v>0.126</v>
      </c>
      <c r="C720" s="38">
        <v>0.66100000000000003</v>
      </c>
      <c r="D720" s="38">
        <v>1.1930000000000001</v>
      </c>
      <c r="E720" s="38">
        <v>1.7769999999999999</v>
      </c>
    </row>
    <row r="721" spans="1:5">
      <c r="A721" s="55" t="s">
        <v>1491</v>
      </c>
      <c r="B721" s="38">
        <v>0.14399999999999999</v>
      </c>
      <c r="C721" s="38">
        <v>0.69399999999999995</v>
      </c>
      <c r="D721" s="38">
        <v>1.2250000000000001</v>
      </c>
      <c r="E721" s="38">
        <v>1.798</v>
      </c>
    </row>
    <row r="722" spans="1:5">
      <c r="A722" s="55" t="s">
        <v>1492</v>
      </c>
      <c r="B722" s="38">
        <v>0.2</v>
      </c>
      <c r="C722" s="38">
        <v>0.84</v>
      </c>
      <c r="D722" s="38">
        <v>1.351</v>
      </c>
      <c r="E722" s="38">
        <v>1.802</v>
      </c>
    </row>
    <row r="723" spans="1:5">
      <c r="A723" s="55" t="s">
        <v>1493</v>
      </c>
      <c r="B723" s="38">
        <v>0.496</v>
      </c>
      <c r="C723" s="38">
        <v>1.0529999999999999</v>
      </c>
      <c r="D723" s="38">
        <v>1.4690000000000001</v>
      </c>
      <c r="E723" s="38">
        <v>1.833</v>
      </c>
    </row>
    <row r="724" spans="1:5">
      <c r="A724" s="55" t="s">
        <v>1494</v>
      </c>
      <c r="B724" s="38">
        <v>0.68</v>
      </c>
      <c r="C724" s="38">
        <v>1.17</v>
      </c>
      <c r="D724" s="38">
        <v>1.569</v>
      </c>
      <c r="E724" s="38">
        <v>2.0830000000000002</v>
      </c>
    </row>
    <row r="725" spans="1:5">
      <c r="A725" s="55" t="s">
        <v>1495</v>
      </c>
      <c r="B725" s="38">
        <v>0.64</v>
      </c>
      <c r="C725" s="38">
        <v>0.97899999999999998</v>
      </c>
      <c r="D725" s="38">
        <v>1.3640000000000001</v>
      </c>
      <c r="E725" s="38">
        <v>1.9</v>
      </c>
    </row>
    <row r="726" spans="1:5">
      <c r="A726" s="55" t="s">
        <v>1496</v>
      </c>
      <c r="B726" s="38">
        <v>0.61899999999999999</v>
      </c>
      <c r="C726" s="38">
        <v>0.92700000000000005</v>
      </c>
      <c r="D726" s="38">
        <v>1.337</v>
      </c>
      <c r="E726" s="38">
        <v>1.885</v>
      </c>
    </row>
    <row r="727" spans="1:5">
      <c r="A727" s="55" t="s">
        <v>1497</v>
      </c>
      <c r="B727" s="38">
        <v>0.56999999999999995</v>
      </c>
      <c r="C727" s="38">
        <v>0.89900000000000002</v>
      </c>
      <c r="D727" s="38">
        <v>1.3260000000000001</v>
      </c>
      <c r="E727" s="38">
        <v>1.8460000000000001</v>
      </c>
    </row>
    <row r="728" spans="1:5">
      <c r="A728" s="55" t="s">
        <v>1498</v>
      </c>
      <c r="B728" s="38">
        <v>0.58499999999999996</v>
      </c>
      <c r="C728" s="38">
        <v>0.94499999999999995</v>
      </c>
      <c r="D728" s="38">
        <v>1.369</v>
      </c>
      <c r="E728" s="38">
        <v>1.8260000000000001</v>
      </c>
    </row>
    <row r="729" spans="1:5">
      <c r="A729" s="55" t="s">
        <v>1499</v>
      </c>
      <c r="B729" s="38">
        <v>0.54500000000000004</v>
      </c>
      <c r="C729" s="38">
        <v>0.90500000000000003</v>
      </c>
      <c r="D729" s="38">
        <v>1.337</v>
      </c>
      <c r="E729" s="38">
        <v>1.806</v>
      </c>
    </row>
    <row r="730" spans="1:5">
      <c r="A730" s="55" t="s">
        <v>1500</v>
      </c>
      <c r="B730" s="38">
        <v>0.51</v>
      </c>
      <c r="C730" s="38">
        <v>0.84299999999999997</v>
      </c>
      <c r="D730" s="38">
        <v>1.278</v>
      </c>
      <c r="E730" s="38">
        <v>1.7470000000000001</v>
      </c>
    </row>
    <row r="731" spans="1:5">
      <c r="A731" s="55" t="s">
        <v>1501</v>
      </c>
      <c r="B731" s="38">
        <v>0.50600000000000001</v>
      </c>
      <c r="C731" s="38">
        <v>0.86</v>
      </c>
      <c r="D731" s="38">
        <v>1.3120000000000001</v>
      </c>
      <c r="E731" s="38">
        <v>1.778</v>
      </c>
    </row>
    <row r="732" spans="1:5">
      <c r="A732" s="55" t="s">
        <v>1502</v>
      </c>
      <c r="B732" s="38">
        <v>0.51400000000000001</v>
      </c>
      <c r="C732" s="38">
        <v>0.873</v>
      </c>
      <c r="D732" s="38">
        <v>1.3129999999999999</v>
      </c>
      <c r="E732" s="38">
        <v>1.7290000000000001</v>
      </c>
    </row>
    <row r="733" spans="1:5">
      <c r="A733" s="55" t="s">
        <v>1503</v>
      </c>
      <c r="B733" s="38">
        <v>0.6</v>
      </c>
      <c r="C733" s="38">
        <v>0.996</v>
      </c>
      <c r="D733" s="38">
        <v>1.4179999999999999</v>
      </c>
      <c r="E733" s="38">
        <v>1.8080000000000001</v>
      </c>
    </row>
    <row r="734" spans="1:5">
      <c r="A734" s="55" t="s">
        <v>1504</v>
      </c>
      <c r="B734" s="38">
        <v>0.60599999999999998</v>
      </c>
      <c r="C734" s="38">
        <v>1.0149999999999999</v>
      </c>
      <c r="D734" s="38">
        <v>1.4379999999999999</v>
      </c>
      <c r="E734" s="38">
        <v>1.7909999999999999</v>
      </c>
    </row>
    <row r="735" spans="1:5">
      <c r="A735" s="55" t="s">
        <v>1505</v>
      </c>
      <c r="B735" s="38">
        <v>0.57699999999999996</v>
      </c>
      <c r="C735" s="38">
        <v>0.96</v>
      </c>
      <c r="D735" s="38">
        <v>1.3879999999999999</v>
      </c>
      <c r="E735" s="38">
        <v>1.766</v>
      </c>
    </row>
    <row r="736" spans="1:5">
      <c r="A736" s="55" t="s">
        <v>1506</v>
      </c>
      <c r="B736" s="38">
        <v>0.60799999999999998</v>
      </c>
      <c r="C736" s="38">
        <v>1.012</v>
      </c>
      <c r="D736" s="38">
        <v>1.4419999999999999</v>
      </c>
      <c r="E736" s="38">
        <v>1.831</v>
      </c>
    </row>
    <row r="737" spans="1:5">
      <c r="A737" s="55" t="s">
        <v>1507</v>
      </c>
      <c r="B737" s="38">
        <v>0.57999999999999996</v>
      </c>
      <c r="C737" s="38">
        <v>0.98299999999999998</v>
      </c>
      <c r="D737" s="38">
        <v>1.419</v>
      </c>
      <c r="E737" s="38">
        <v>1.8580000000000001</v>
      </c>
    </row>
    <row r="738" spans="1:5">
      <c r="A738" s="55" t="s">
        <v>1508</v>
      </c>
      <c r="B738" s="38">
        <v>0.56100000000000005</v>
      </c>
      <c r="C738" s="38">
        <v>0.95699999999999996</v>
      </c>
      <c r="D738" s="38">
        <v>1.381</v>
      </c>
      <c r="E738" s="38">
        <v>1.7929999999999999</v>
      </c>
    </row>
    <row r="739" spans="1:5">
      <c r="A739" s="55" t="s">
        <v>1509</v>
      </c>
      <c r="B739" s="38">
        <v>0.56699999999999995</v>
      </c>
      <c r="C739" s="38">
        <v>0.95499999999999996</v>
      </c>
      <c r="D739" s="38">
        <v>1.3919999999999999</v>
      </c>
      <c r="E739" s="38">
        <v>1.8089999999999999</v>
      </c>
    </row>
    <row r="740" spans="1:5">
      <c r="A740" s="55" t="s">
        <v>1510</v>
      </c>
      <c r="B740" s="38">
        <v>0.56799999999999995</v>
      </c>
      <c r="C740" s="38">
        <v>0.96199999999999997</v>
      </c>
      <c r="D740" s="38">
        <v>1.389</v>
      </c>
      <c r="E740" s="38">
        <v>1.79</v>
      </c>
    </row>
    <row r="741" spans="1:5">
      <c r="A741" s="55" t="s">
        <v>1511</v>
      </c>
      <c r="B741" s="38">
        <v>0.60699999999999998</v>
      </c>
      <c r="C741" s="38">
        <v>1.0129999999999999</v>
      </c>
      <c r="D741" s="38">
        <v>1.4490000000000001</v>
      </c>
      <c r="E741" s="38">
        <v>1.867</v>
      </c>
    </row>
    <row r="742" spans="1:5">
      <c r="A742" s="55" t="s">
        <v>1512</v>
      </c>
      <c r="B742" s="38">
        <v>0.55700000000000005</v>
      </c>
      <c r="C742" s="38">
        <v>0.98699999999999999</v>
      </c>
      <c r="D742" s="38">
        <v>1.4359999999999999</v>
      </c>
      <c r="E742" s="38">
        <v>1.857</v>
      </c>
    </row>
    <row r="743" spans="1:5">
      <c r="A743" s="55" t="s">
        <v>1513</v>
      </c>
      <c r="B743" s="38">
        <v>0.56699999999999995</v>
      </c>
      <c r="C743" s="38">
        <v>1.0329999999999999</v>
      </c>
      <c r="D743" s="38">
        <v>1.4730000000000001</v>
      </c>
      <c r="E743" s="38">
        <v>1.8680000000000001</v>
      </c>
    </row>
    <row r="744" spans="1:5">
      <c r="A744" s="55" t="s">
        <v>1514</v>
      </c>
      <c r="B744" s="38">
        <v>0.54100000000000004</v>
      </c>
      <c r="C744" s="38">
        <v>0.92400000000000004</v>
      </c>
      <c r="D744" s="38">
        <v>1.357</v>
      </c>
      <c r="E744" s="38">
        <v>1.736</v>
      </c>
    </row>
    <row r="745" spans="1:5">
      <c r="A745" s="55" t="s">
        <v>1515</v>
      </c>
      <c r="B745" s="38">
        <v>0.52600000000000002</v>
      </c>
      <c r="C745" s="38">
        <v>0.91300000000000003</v>
      </c>
      <c r="D745" s="38">
        <v>1.345</v>
      </c>
      <c r="E745" s="38">
        <v>1.7430000000000001</v>
      </c>
    </row>
    <row r="746" spans="1:5">
      <c r="A746" s="55" t="s">
        <v>1516</v>
      </c>
      <c r="B746" s="38">
        <v>0.51100000000000001</v>
      </c>
      <c r="C746" s="38">
        <v>0.871</v>
      </c>
      <c r="D746" s="38">
        <v>1.3029999999999999</v>
      </c>
      <c r="E746" s="38">
        <v>1.6890000000000001</v>
      </c>
    </row>
    <row r="747" spans="1:5">
      <c r="A747" s="55" t="s">
        <v>1517</v>
      </c>
      <c r="B747" s="38">
        <v>0.54500000000000004</v>
      </c>
      <c r="C747" s="38">
        <v>0.93300000000000005</v>
      </c>
      <c r="D747" s="38">
        <v>1.355</v>
      </c>
      <c r="E747" s="38">
        <v>1.728</v>
      </c>
    </row>
    <row r="748" spans="1:5">
      <c r="A748" s="55" t="s">
        <v>1518</v>
      </c>
      <c r="B748" s="38">
        <v>0.55500000000000005</v>
      </c>
      <c r="C748" s="38">
        <v>0.93899999999999995</v>
      </c>
      <c r="D748" s="38">
        <v>1.345</v>
      </c>
      <c r="E748" s="38">
        <v>1.68</v>
      </c>
    </row>
    <row r="749" spans="1:5">
      <c r="A749" s="55" t="s">
        <v>1519</v>
      </c>
      <c r="B749" s="38">
        <v>0.54300000000000004</v>
      </c>
      <c r="C749" s="38">
        <v>0.91100000000000003</v>
      </c>
      <c r="D749" s="38">
        <v>1.306</v>
      </c>
      <c r="E749" s="38">
        <v>1.61</v>
      </c>
    </row>
    <row r="750" spans="1:5">
      <c r="A750" s="55" t="s">
        <v>1520</v>
      </c>
      <c r="B750" s="38">
        <v>0.52700000000000002</v>
      </c>
      <c r="C750" s="38">
        <v>0.88900000000000001</v>
      </c>
      <c r="D750" s="38">
        <v>1.2749999999999999</v>
      </c>
      <c r="E750" s="38">
        <v>1.5820000000000001</v>
      </c>
    </row>
    <row r="751" spans="1:5">
      <c r="A751" s="55" t="s">
        <v>1521</v>
      </c>
      <c r="B751" s="38">
        <v>0.55200000000000005</v>
      </c>
      <c r="C751" s="38">
        <v>0.97599999999999998</v>
      </c>
      <c r="D751" s="38">
        <v>1.3620000000000001</v>
      </c>
      <c r="E751" s="38">
        <v>1.6479999999999999</v>
      </c>
    </row>
    <row r="752" spans="1:5">
      <c r="A752" s="55" t="s">
        <v>1522</v>
      </c>
      <c r="B752" s="38">
        <v>0.56200000000000006</v>
      </c>
      <c r="C752" s="38">
        <v>0.97799999999999998</v>
      </c>
      <c r="D752" s="38">
        <v>1.3660000000000001</v>
      </c>
      <c r="E752" s="38">
        <v>1.621</v>
      </c>
    </row>
    <row r="753" spans="1:5">
      <c r="A753" s="55" t="s">
        <v>1523</v>
      </c>
      <c r="B753" s="38">
        <v>0.54600000000000004</v>
      </c>
      <c r="C753" s="38">
        <v>0.97199999999999998</v>
      </c>
      <c r="D753" s="38">
        <v>1.37</v>
      </c>
      <c r="E753" s="38">
        <v>1.679</v>
      </c>
    </row>
    <row r="754" spans="1:5">
      <c r="A754" s="55" t="s">
        <v>1524</v>
      </c>
      <c r="B754" s="38">
        <v>0.53100000000000003</v>
      </c>
      <c r="C754" s="38">
        <v>0.94399999999999995</v>
      </c>
      <c r="D754" s="38">
        <v>1.345</v>
      </c>
      <c r="E754" s="38">
        <v>1.637</v>
      </c>
    </row>
    <row r="755" spans="1:5">
      <c r="A755" s="55" t="s">
        <v>1525</v>
      </c>
      <c r="B755" s="38">
        <v>0.52100000000000002</v>
      </c>
      <c r="C755" s="38">
        <v>0.92</v>
      </c>
      <c r="D755" s="38">
        <v>1.3160000000000001</v>
      </c>
      <c r="E755" s="38">
        <v>1.605</v>
      </c>
    </row>
    <row r="756" spans="1:5">
      <c r="A756" s="55" t="s">
        <v>1526</v>
      </c>
      <c r="B756" s="38">
        <v>0.50800000000000001</v>
      </c>
      <c r="C756" s="38">
        <v>0.88400000000000001</v>
      </c>
      <c r="D756" s="38">
        <v>1.2709999999999999</v>
      </c>
      <c r="E756" s="38">
        <v>1.5449999999999999</v>
      </c>
    </row>
    <row r="757" spans="1:5">
      <c r="A757" s="55" t="s">
        <v>1527</v>
      </c>
      <c r="B757" s="38">
        <v>0.52800000000000002</v>
      </c>
      <c r="C757" s="38">
        <v>0.93799999999999994</v>
      </c>
      <c r="D757" s="38">
        <v>1.3129999999999999</v>
      </c>
      <c r="E757" s="38">
        <v>1.5629999999999999</v>
      </c>
    </row>
    <row r="758" spans="1:5">
      <c r="A758" s="55" t="s">
        <v>1528</v>
      </c>
      <c r="B758" s="38">
        <v>0.57699999999999996</v>
      </c>
      <c r="C758" s="38">
        <v>1.0029999999999999</v>
      </c>
      <c r="D758" s="38">
        <v>1.363</v>
      </c>
      <c r="E758" s="38">
        <v>1.569</v>
      </c>
    </row>
    <row r="759" spans="1:5">
      <c r="A759" s="55" t="s">
        <v>1529</v>
      </c>
      <c r="B759" s="38">
        <v>0.57699999999999996</v>
      </c>
      <c r="C759" s="38">
        <v>0.997</v>
      </c>
      <c r="D759" s="38">
        <v>1.367</v>
      </c>
      <c r="E759" s="38">
        <v>1.5880000000000001</v>
      </c>
    </row>
    <row r="760" spans="1:5">
      <c r="A760" s="55" t="s">
        <v>1530</v>
      </c>
      <c r="B760" s="38">
        <v>0.53400000000000003</v>
      </c>
      <c r="C760" s="38">
        <v>0.95899999999999996</v>
      </c>
      <c r="D760" s="38">
        <v>1.323</v>
      </c>
      <c r="E760" s="38">
        <v>1.542</v>
      </c>
    </row>
    <row r="761" spans="1:5">
      <c r="A761" s="55" t="s">
        <v>1531</v>
      </c>
      <c r="B761" s="38">
        <v>0.53</v>
      </c>
      <c r="C761" s="38">
        <v>0.96499999999999997</v>
      </c>
      <c r="D761" s="38">
        <v>1.3480000000000001</v>
      </c>
      <c r="E761" s="38">
        <v>1.601</v>
      </c>
    </row>
    <row r="762" spans="1:5">
      <c r="A762" s="55" t="s">
        <v>1532</v>
      </c>
      <c r="B762" s="38">
        <v>0.47499999999999998</v>
      </c>
      <c r="C762" s="38">
        <v>0.88700000000000001</v>
      </c>
      <c r="D762" s="38">
        <v>1.2869999999999999</v>
      </c>
      <c r="E762" s="38">
        <v>1.585</v>
      </c>
    </row>
    <row r="763" spans="1:5">
      <c r="A763" s="55" t="s">
        <v>1533</v>
      </c>
      <c r="B763" s="38">
        <v>0.48299999999999998</v>
      </c>
      <c r="C763" s="38">
        <v>0.90200000000000002</v>
      </c>
      <c r="D763" s="38">
        <v>1.298</v>
      </c>
      <c r="E763" s="38">
        <v>1.591</v>
      </c>
    </row>
    <row r="764" spans="1:5">
      <c r="A764" s="55" t="s">
        <v>1534</v>
      </c>
      <c r="B764" s="38">
        <v>0.48699999999999999</v>
      </c>
      <c r="C764" s="38">
        <v>0.90500000000000003</v>
      </c>
      <c r="D764" s="38">
        <v>1.2989999999999999</v>
      </c>
      <c r="E764" s="38">
        <v>1.5780000000000001</v>
      </c>
    </row>
    <row r="765" spans="1:5">
      <c r="A765" s="55" t="s">
        <v>1535</v>
      </c>
      <c r="B765" s="38">
        <v>0.47699999999999998</v>
      </c>
      <c r="C765" s="38">
        <v>0.85799999999999998</v>
      </c>
      <c r="D765" s="38">
        <v>1.2450000000000001</v>
      </c>
      <c r="E765" s="38">
        <v>1.534</v>
      </c>
    </row>
    <row r="766" spans="1:5">
      <c r="A766" s="55" t="s">
        <v>1536</v>
      </c>
      <c r="B766" s="38">
        <v>0.501</v>
      </c>
      <c r="C766" s="38">
        <v>0.92100000000000004</v>
      </c>
      <c r="D766" s="38">
        <v>1.3109999999999999</v>
      </c>
      <c r="E766" s="38">
        <v>1.631</v>
      </c>
    </row>
    <row r="767" spans="1:5">
      <c r="A767" s="55" t="s">
        <v>1537</v>
      </c>
      <c r="B767" s="38">
        <v>0.50900000000000001</v>
      </c>
      <c r="C767" s="38">
        <v>0.95099999999999996</v>
      </c>
      <c r="D767" s="38">
        <v>1.34</v>
      </c>
      <c r="E767" s="38">
        <v>1.6659999999999999</v>
      </c>
    </row>
    <row r="768" spans="1:5">
      <c r="A768" s="55" t="s">
        <v>1538</v>
      </c>
      <c r="B768" s="38">
        <v>0.56100000000000005</v>
      </c>
      <c r="C768" s="38">
        <v>1.008</v>
      </c>
      <c r="D768" s="38">
        <v>1.4019999999999999</v>
      </c>
      <c r="E768" s="38">
        <v>1.732</v>
      </c>
    </row>
    <row r="769" spans="1:5">
      <c r="A769" s="55" t="s">
        <v>1539</v>
      </c>
      <c r="B769" s="38">
        <v>0.57499999999999996</v>
      </c>
      <c r="C769" s="38">
        <v>1.01</v>
      </c>
      <c r="D769" s="38">
        <v>1.42</v>
      </c>
      <c r="E769" s="38">
        <v>1.768</v>
      </c>
    </row>
    <row r="770" spans="1:5">
      <c r="A770" s="55" t="s">
        <v>1540</v>
      </c>
      <c r="B770" s="38">
        <v>0.625</v>
      </c>
      <c r="C770" s="38">
        <v>1.0680000000000001</v>
      </c>
      <c r="D770" s="38">
        <v>1.4830000000000001</v>
      </c>
      <c r="E770" s="38">
        <v>1.849</v>
      </c>
    </row>
    <row r="771" spans="1:5">
      <c r="A771" s="55" t="s">
        <v>1541</v>
      </c>
      <c r="B771" s="38">
        <v>0.61499999999999999</v>
      </c>
      <c r="C771" s="38">
        <v>1.0409999999999999</v>
      </c>
      <c r="D771" s="38">
        <v>1.4650000000000001</v>
      </c>
      <c r="E771" s="38">
        <v>1.8380000000000001</v>
      </c>
    </row>
    <row r="772" spans="1:5">
      <c r="A772" s="55" t="s">
        <v>1542</v>
      </c>
      <c r="B772" s="38">
        <v>0.622</v>
      </c>
      <c r="C772" s="38">
        <v>1.0629999999999999</v>
      </c>
      <c r="D772" s="38">
        <v>1.498</v>
      </c>
      <c r="E772" s="38">
        <v>1.905</v>
      </c>
    </row>
    <row r="773" spans="1:5">
      <c r="A773" s="55" t="s">
        <v>1543</v>
      </c>
      <c r="B773" s="38">
        <v>0.62</v>
      </c>
      <c r="C773" s="38">
        <v>1.046</v>
      </c>
      <c r="D773" s="38">
        <v>1.484</v>
      </c>
      <c r="E773" s="38">
        <v>1.881</v>
      </c>
    </row>
    <row r="774" spans="1:5">
      <c r="A774" s="55" t="s">
        <v>1544</v>
      </c>
      <c r="B774" s="38">
        <v>0.60699999999999998</v>
      </c>
      <c r="C774" s="38">
        <v>1.028</v>
      </c>
      <c r="D774" s="38">
        <v>1.4550000000000001</v>
      </c>
      <c r="E774" s="38">
        <v>1.835</v>
      </c>
    </row>
    <row r="775" spans="1:5">
      <c r="A775" s="55" t="s">
        <v>1545</v>
      </c>
      <c r="B775" s="38">
        <v>0.63600000000000001</v>
      </c>
      <c r="C775" s="38">
        <v>1.044</v>
      </c>
      <c r="D775" s="38">
        <v>1.4690000000000001</v>
      </c>
      <c r="E775" s="38">
        <v>1.8460000000000001</v>
      </c>
    </row>
    <row r="776" spans="1:5">
      <c r="A776" s="55" t="s">
        <v>1546</v>
      </c>
      <c r="B776" s="38">
        <v>0.66400000000000003</v>
      </c>
      <c r="C776" s="38">
        <v>1.0840000000000001</v>
      </c>
      <c r="D776" s="38">
        <v>1.49</v>
      </c>
      <c r="E776" s="38">
        <v>1.837</v>
      </c>
    </row>
    <row r="777" spans="1:5">
      <c r="A777" s="55" t="s">
        <v>1547</v>
      </c>
      <c r="B777" s="38">
        <v>0.71499999999999997</v>
      </c>
      <c r="C777" s="38">
        <v>1.1399999999999999</v>
      </c>
      <c r="D777" s="38">
        <v>1.5469999999999999</v>
      </c>
      <c r="E777" s="38">
        <v>1.903</v>
      </c>
    </row>
    <row r="778" spans="1:5">
      <c r="A778" s="55" t="s">
        <v>1548</v>
      </c>
      <c r="B778" s="38">
        <v>0.76600000000000001</v>
      </c>
      <c r="C778" s="38">
        <v>1.1850000000000001</v>
      </c>
      <c r="D778" s="38">
        <v>1.583</v>
      </c>
      <c r="E778" s="38">
        <v>1.9330000000000001</v>
      </c>
    </row>
    <row r="779" spans="1:5">
      <c r="A779" s="55" t="s">
        <v>1549</v>
      </c>
      <c r="B779" s="38">
        <v>0.79700000000000004</v>
      </c>
      <c r="C779" s="38">
        <v>1.228</v>
      </c>
      <c r="D779" s="38">
        <v>1.6279999999999999</v>
      </c>
      <c r="E779" s="38">
        <v>1.9830000000000001</v>
      </c>
    </row>
    <row r="780" spans="1:5">
      <c r="A780" s="55" t="s">
        <v>1550</v>
      </c>
      <c r="B780" s="38">
        <v>0.82099999999999995</v>
      </c>
      <c r="C780" s="38">
        <v>1.266</v>
      </c>
      <c r="D780" s="38">
        <v>1.653</v>
      </c>
      <c r="E780" s="38">
        <v>1.9790000000000001</v>
      </c>
    </row>
    <row r="781" spans="1:5">
      <c r="A781" s="55" t="s">
        <v>1551</v>
      </c>
      <c r="B781" s="38">
        <v>0.77300000000000002</v>
      </c>
      <c r="C781" s="38">
        <v>1.1970000000000001</v>
      </c>
      <c r="D781" s="38">
        <v>1.5760000000000001</v>
      </c>
      <c r="E781" s="38">
        <v>1.905</v>
      </c>
    </row>
    <row r="782" spans="1:5">
      <c r="A782" s="55" t="s">
        <v>1552</v>
      </c>
      <c r="B782" s="38">
        <v>0.79900000000000004</v>
      </c>
      <c r="C782" s="38">
        <v>1.2350000000000001</v>
      </c>
      <c r="D782" s="38">
        <v>1.6060000000000001</v>
      </c>
      <c r="E782" s="38">
        <v>1.9219999999999999</v>
      </c>
    </row>
    <row r="783" spans="1:5">
      <c r="A783" s="55" t="s">
        <v>1553</v>
      </c>
      <c r="B783" s="38">
        <v>0.84799999999999998</v>
      </c>
      <c r="C783" s="38">
        <v>1.29</v>
      </c>
      <c r="D783" s="38">
        <v>1.645</v>
      </c>
      <c r="E783" s="38">
        <v>1.93</v>
      </c>
    </row>
    <row r="784" spans="1:5">
      <c r="A784" s="55" t="s">
        <v>1554</v>
      </c>
      <c r="B784" s="38">
        <v>0.91600000000000004</v>
      </c>
      <c r="C784" s="38">
        <v>1.3660000000000001</v>
      </c>
      <c r="D784" s="38">
        <v>1.7190000000000001</v>
      </c>
      <c r="E784" s="38">
        <v>2.0099999999999998</v>
      </c>
    </row>
    <row r="785" spans="1:5">
      <c r="A785" s="55" t="s">
        <v>1555</v>
      </c>
      <c r="B785" s="38">
        <v>0.876</v>
      </c>
      <c r="C785" s="38">
        <v>1.306</v>
      </c>
      <c r="D785" s="38">
        <v>1.645</v>
      </c>
      <c r="E785" s="38">
        <v>1.9279999999999999</v>
      </c>
    </row>
    <row r="786" spans="1:5">
      <c r="A786" s="55" t="s">
        <v>1556</v>
      </c>
      <c r="B786" s="38">
        <v>0.81200000000000006</v>
      </c>
      <c r="C786" s="38">
        <v>1.2130000000000001</v>
      </c>
      <c r="D786" s="38">
        <v>1.5529999999999999</v>
      </c>
      <c r="E786" s="38">
        <v>1.8839999999999999</v>
      </c>
    </row>
    <row r="787" spans="1:5">
      <c r="A787" s="55" t="s">
        <v>1557</v>
      </c>
      <c r="B787" s="38">
        <v>0.79700000000000004</v>
      </c>
      <c r="C787" s="38">
        <v>1.232</v>
      </c>
      <c r="D787" s="38">
        <v>1.5680000000000001</v>
      </c>
      <c r="E787" s="38">
        <v>1.89</v>
      </c>
    </row>
    <row r="788" spans="1:5">
      <c r="A788" s="55" t="s">
        <v>1558</v>
      </c>
      <c r="B788" s="38">
        <v>0.80400000000000005</v>
      </c>
      <c r="C788" s="38">
        <v>1.242</v>
      </c>
      <c r="D788" s="38">
        <v>1.579</v>
      </c>
      <c r="E788" s="38">
        <v>1.9</v>
      </c>
    </row>
    <row r="789" spans="1:5">
      <c r="A789" s="55" t="s">
        <v>1559</v>
      </c>
      <c r="B789" s="38">
        <v>0.79100000000000004</v>
      </c>
      <c r="C789" s="38">
        <v>1.224</v>
      </c>
      <c r="D789" s="38">
        <v>1.552</v>
      </c>
      <c r="E789" s="38">
        <v>1.857</v>
      </c>
    </row>
    <row r="790" spans="1:5">
      <c r="A790" s="55" t="s">
        <v>1560</v>
      </c>
      <c r="B790" s="38">
        <v>0.86399999999999999</v>
      </c>
      <c r="C790" s="38">
        <v>1.31</v>
      </c>
      <c r="D790" s="38">
        <v>1.635</v>
      </c>
      <c r="E790" s="38">
        <v>1.948</v>
      </c>
    </row>
    <row r="791" spans="1:5">
      <c r="A791" s="55" t="s">
        <v>1561</v>
      </c>
      <c r="B791" s="38">
        <v>0.93</v>
      </c>
      <c r="C791" s="38">
        <v>1.3879999999999999</v>
      </c>
      <c r="D791" s="38">
        <v>1.7070000000000001</v>
      </c>
      <c r="E791" s="38">
        <v>1.984</v>
      </c>
    </row>
    <row r="792" spans="1:5">
      <c r="A792" s="55" t="s">
        <v>1562</v>
      </c>
      <c r="B792" s="38">
        <v>0.99299999999999999</v>
      </c>
      <c r="C792" s="38">
        <v>1.474</v>
      </c>
      <c r="D792" s="38">
        <v>1.802</v>
      </c>
      <c r="E792" s="38">
        <v>2.109</v>
      </c>
    </row>
    <row r="793" spans="1:5">
      <c r="A793" s="55" t="s">
        <v>1563</v>
      </c>
      <c r="B793" s="38">
        <v>0.98499999999999999</v>
      </c>
      <c r="C793" s="38">
        <v>1.4650000000000001</v>
      </c>
      <c r="D793" s="38">
        <v>1.794</v>
      </c>
      <c r="E793" s="38">
        <v>2.0939999999999999</v>
      </c>
    </row>
    <row r="794" spans="1:5">
      <c r="A794" s="55" t="s">
        <v>1564</v>
      </c>
      <c r="B794" s="38">
        <v>0.97799999999999998</v>
      </c>
      <c r="C794" s="38">
        <v>1.454</v>
      </c>
      <c r="D794" s="38">
        <v>1.7849999999999999</v>
      </c>
      <c r="E794" s="38">
        <v>2.097</v>
      </c>
    </row>
    <row r="795" spans="1:5">
      <c r="A795" s="55" t="s">
        <v>1565</v>
      </c>
      <c r="B795" s="38">
        <v>1.0840000000000001</v>
      </c>
      <c r="C795" s="38">
        <v>1.5920000000000001</v>
      </c>
      <c r="D795" s="38">
        <v>1.9139999999999999</v>
      </c>
      <c r="E795" s="38">
        <v>2.202</v>
      </c>
    </row>
    <row r="796" spans="1:5">
      <c r="A796" s="55" t="s">
        <v>1566</v>
      </c>
      <c r="B796" s="38">
        <v>1.0489999999999999</v>
      </c>
      <c r="C796" s="38">
        <v>1.528</v>
      </c>
      <c r="D796" s="38">
        <v>1.843</v>
      </c>
      <c r="E796" s="38">
        <v>2.1280000000000001</v>
      </c>
    </row>
    <row r="797" spans="1:5">
      <c r="A797" s="55" t="s">
        <v>1567</v>
      </c>
      <c r="B797" s="38">
        <v>1.1160000000000001</v>
      </c>
      <c r="C797" s="38">
        <v>1.581</v>
      </c>
      <c r="D797" s="38">
        <v>1.9039999999999999</v>
      </c>
      <c r="E797" s="38">
        <v>2.1789999999999998</v>
      </c>
    </row>
    <row r="798" spans="1:5">
      <c r="A798" s="55" t="s">
        <v>1568</v>
      </c>
      <c r="B798" s="38">
        <v>1.1359999999999999</v>
      </c>
      <c r="C798" s="38">
        <v>1.5940000000000001</v>
      </c>
      <c r="D798" s="38">
        <v>1.9259999999999999</v>
      </c>
      <c r="E798" s="38">
        <v>2.2240000000000002</v>
      </c>
    </row>
    <row r="799" spans="1:5">
      <c r="A799" s="55" t="s">
        <v>1569</v>
      </c>
      <c r="B799" s="38">
        <v>1.0900000000000001</v>
      </c>
      <c r="C799" s="38">
        <v>1.56</v>
      </c>
      <c r="D799" s="38">
        <v>1.895</v>
      </c>
      <c r="E799" s="38">
        <v>2.2000000000000002</v>
      </c>
    </row>
    <row r="800" spans="1:5">
      <c r="A800" s="55" t="s">
        <v>1570</v>
      </c>
      <c r="B800" s="38">
        <v>1.105</v>
      </c>
      <c r="C800" s="38">
        <v>1.5840000000000001</v>
      </c>
      <c r="D800" s="38">
        <v>1.921</v>
      </c>
      <c r="E800" s="38">
        <v>2.2410000000000001</v>
      </c>
    </row>
    <row r="801" spans="1:5">
      <c r="A801" s="55" t="s">
        <v>1571</v>
      </c>
      <c r="B801" s="38">
        <v>1.0940000000000001</v>
      </c>
      <c r="C801" s="38">
        <v>1.5660000000000001</v>
      </c>
      <c r="D801" s="38">
        <v>1.901</v>
      </c>
      <c r="E801" s="38">
        <v>2.2120000000000002</v>
      </c>
    </row>
    <row r="802" spans="1:5">
      <c r="A802" s="55" t="s">
        <v>1572</v>
      </c>
      <c r="B802" s="38">
        <v>1.107</v>
      </c>
      <c r="C802" s="38">
        <v>1.5669999999999999</v>
      </c>
      <c r="D802" s="38">
        <v>1.899</v>
      </c>
      <c r="E802" s="38">
        <v>2.194</v>
      </c>
    </row>
    <row r="803" spans="1:5">
      <c r="A803" s="55" t="s">
        <v>1573</v>
      </c>
      <c r="B803" s="38">
        <v>1.161</v>
      </c>
      <c r="C803" s="38">
        <v>1.6519999999999999</v>
      </c>
      <c r="D803" s="38">
        <v>1.982</v>
      </c>
      <c r="E803" s="38">
        <v>2.2629999999999999</v>
      </c>
    </row>
    <row r="804" spans="1:5">
      <c r="A804" s="55" t="s">
        <v>1574</v>
      </c>
      <c r="B804" s="38">
        <v>1.0880000000000001</v>
      </c>
      <c r="C804" s="38">
        <v>1.5620000000000001</v>
      </c>
      <c r="D804" s="38">
        <v>1.885</v>
      </c>
      <c r="E804" s="38">
        <v>2.15</v>
      </c>
    </row>
    <row r="805" spans="1:5">
      <c r="A805" s="55" t="s">
        <v>1575</v>
      </c>
      <c r="B805" s="38">
        <v>1.127</v>
      </c>
      <c r="C805" s="38">
        <v>1.615</v>
      </c>
      <c r="D805" s="38">
        <v>1.9430000000000001</v>
      </c>
      <c r="E805" s="38">
        <v>2.226</v>
      </c>
    </row>
    <row r="806" spans="1:5">
      <c r="A806" s="55" t="s">
        <v>1576</v>
      </c>
      <c r="B806" s="38">
        <v>1.022</v>
      </c>
      <c r="C806" s="38">
        <v>1.4930000000000001</v>
      </c>
      <c r="D806" s="38">
        <v>1.827</v>
      </c>
      <c r="E806" s="38">
        <v>2.1309999999999998</v>
      </c>
    </row>
    <row r="807" spans="1:5">
      <c r="A807" s="55" t="s">
        <v>1577</v>
      </c>
      <c r="B807" s="38">
        <v>1.0209999999999999</v>
      </c>
      <c r="C807" s="38">
        <v>1.496</v>
      </c>
      <c r="D807" s="38">
        <v>1.847</v>
      </c>
      <c r="E807" s="38">
        <v>2.1819999999999999</v>
      </c>
    </row>
    <row r="808" spans="1:5">
      <c r="A808" s="55" t="s">
        <v>1578</v>
      </c>
      <c r="B808" s="38">
        <v>0.93899999999999995</v>
      </c>
      <c r="C808" s="38">
        <v>1.4019999999999999</v>
      </c>
      <c r="D808" s="38">
        <v>1.744</v>
      </c>
      <c r="E808" s="38">
        <v>2.0680000000000001</v>
      </c>
    </row>
    <row r="809" spans="1:5">
      <c r="A809" s="55" t="s">
        <v>1579</v>
      </c>
      <c r="B809" s="38">
        <v>1.016</v>
      </c>
      <c r="C809" s="38">
        <v>1.4990000000000001</v>
      </c>
      <c r="D809" s="38">
        <v>1.833</v>
      </c>
      <c r="E809" s="38">
        <v>2.1589999999999998</v>
      </c>
    </row>
    <row r="810" spans="1:5">
      <c r="A810" s="55" t="s">
        <v>1580</v>
      </c>
      <c r="B810" s="38">
        <v>1.0489999999999999</v>
      </c>
      <c r="C810" s="38">
        <v>1.522</v>
      </c>
      <c r="D810" s="38">
        <v>1.847</v>
      </c>
      <c r="E810" s="38">
        <v>2.1440000000000001</v>
      </c>
    </row>
    <row r="811" spans="1:5">
      <c r="A811" s="55" t="s">
        <v>1581</v>
      </c>
      <c r="B811" s="38">
        <v>1.0609999999999999</v>
      </c>
      <c r="C811" s="38">
        <v>1.5249999999999999</v>
      </c>
      <c r="D811" s="38">
        <v>1.84</v>
      </c>
      <c r="E811" s="38">
        <v>2.129</v>
      </c>
    </row>
    <row r="812" spans="1:5">
      <c r="A812" s="55" t="s">
        <v>1582</v>
      </c>
      <c r="B812" s="38">
        <v>1.1419999999999999</v>
      </c>
      <c r="C812" s="38">
        <v>1.62</v>
      </c>
      <c r="D812" s="38">
        <v>1.9350000000000001</v>
      </c>
      <c r="E812" s="38">
        <v>2.2269999999999999</v>
      </c>
    </row>
    <row r="813" spans="1:5">
      <c r="A813" s="55" t="s">
        <v>1583</v>
      </c>
      <c r="B813" s="38">
        <v>1.1930000000000001</v>
      </c>
      <c r="C813" s="38">
        <v>1.6970000000000001</v>
      </c>
      <c r="D813" s="38">
        <v>2.0230000000000001</v>
      </c>
      <c r="E813" s="38">
        <v>2.3119999999999998</v>
      </c>
    </row>
    <row r="814" spans="1:5">
      <c r="A814" s="55" t="s">
        <v>1584</v>
      </c>
      <c r="B814" s="38">
        <v>1.2150000000000001</v>
      </c>
      <c r="C814" s="38">
        <v>1.736</v>
      </c>
      <c r="D814" s="38">
        <v>2.0720000000000001</v>
      </c>
      <c r="E814" s="38">
        <v>2.3610000000000002</v>
      </c>
    </row>
    <row r="815" spans="1:5">
      <c r="A815" s="55" t="s">
        <v>1585</v>
      </c>
      <c r="B815" s="38">
        <v>1.244</v>
      </c>
      <c r="C815" s="38">
        <v>1.7709999999999999</v>
      </c>
      <c r="D815" s="38">
        <v>2.1070000000000002</v>
      </c>
      <c r="E815" s="38">
        <v>2.3929999999999998</v>
      </c>
    </row>
    <row r="816" spans="1:5">
      <c r="A816" s="55" t="s">
        <v>1586</v>
      </c>
      <c r="B816" s="38">
        <v>1.278</v>
      </c>
      <c r="C816" s="38">
        <v>1.806</v>
      </c>
      <c r="D816" s="38">
        <v>2.1429999999999998</v>
      </c>
      <c r="E816" s="38">
        <v>2.4510000000000001</v>
      </c>
    </row>
    <row r="817" spans="1:5">
      <c r="A817" s="55" t="s">
        <v>1587</v>
      </c>
      <c r="B817" s="38">
        <v>1.28</v>
      </c>
      <c r="C817" s="38">
        <v>1.821</v>
      </c>
      <c r="D817" s="38">
        <v>2.177</v>
      </c>
      <c r="E817" s="38">
        <v>2.5110000000000001</v>
      </c>
    </row>
    <row r="818" spans="1:5">
      <c r="A818" s="55" t="s">
        <v>1588</v>
      </c>
      <c r="B818" s="38">
        <v>1.2330000000000001</v>
      </c>
      <c r="C818" s="38">
        <v>1.77</v>
      </c>
      <c r="D818" s="38">
        <v>2.133</v>
      </c>
      <c r="E818" s="38">
        <v>2.488</v>
      </c>
    </row>
    <row r="819" spans="1:5">
      <c r="A819" s="55" t="s">
        <v>1589</v>
      </c>
      <c r="B819" s="38">
        <v>1.288</v>
      </c>
      <c r="C819" s="38">
        <v>1.8360000000000001</v>
      </c>
      <c r="D819" s="38">
        <v>2.1819999999999999</v>
      </c>
      <c r="E819" s="38">
        <v>2.5</v>
      </c>
    </row>
    <row r="820" spans="1:5">
      <c r="A820" s="55" t="s">
        <v>1590</v>
      </c>
      <c r="B820" s="38">
        <v>1.3380000000000001</v>
      </c>
      <c r="C820" s="38">
        <v>1.889</v>
      </c>
      <c r="D820" s="38">
        <v>2.234</v>
      </c>
      <c r="E820" s="38">
        <v>2.57</v>
      </c>
    </row>
    <row r="821" spans="1:5">
      <c r="A821" s="55" t="s">
        <v>1591</v>
      </c>
      <c r="B821" s="38">
        <v>1.349</v>
      </c>
      <c r="C821" s="38">
        <v>1.9139999999999999</v>
      </c>
      <c r="D821" s="38">
        <v>2.2469999999999999</v>
      </c>
      <c r="E821" s="38">
        <v>2.5760000000000001</v>
      </c>
    </row>
    <row r="822" spans="1:5">
      <c r="A822" s="55" t="s">
        <v>1592</v>
      </c>
      <c r="B822" s="38">
        <v>1.506</v>
      </c>
      <c r="C822" s="38">
        <v>2.1030000000000002</v>
      </c>
      <c r="D822" s="38">
        <v>2.4260000000000002</v>
      </c>
      <c r="E822" s="38">
        <v>2.714</v>
      </c>
    </row>
    <row r="823" spans="1:5">
      <c r="A823" s="55" t="s">
        <v>1593</v>
      </c>
      <c r="B823" s="38">
        <v>1.5209999999999999</v>
      </c>
      <c r="C823" s="38">
        <v>2.1520000000000001</v>
      </c>
      <c r="D823" s="38">
        <v>2.472</v>
      </c>
      <c r="E823" s="38">
        <v>2.7690000000000001</v>
      </c>
    </row>
    <row r="824" spans="1:5">
      <c r="A824" s="55" t="s">
        <v>1594</v>
      </c>
      <c r="B824" s="38">
        <v>1.4510000000000001</v>
      </c>
      <c r="C824" s="38">
        <v>2.1640000000000001</v>
      </c>
      <c r="D824" s="38">
        <v>2.4750000000000001</v>
      </c>
      <c r="E824" s="38">
        <v>2.76</v>
      </c>
    </row>
    <row r="825" spans="1:5">
      <c r="A825" s="55" t="s">
        <v>1595</v>
      </c>
      <c r="B825" s="38">
        <v>1.5329999999999999</v>
      </c>
      <c r="C825" s="38">
        <v>2.181</v>
      </c>
      <c r="D825" s="38">
        <v>2.4929999999999999</v>
      </c>
      <c r="E825" s="38">
        <v>2.7709999999999999</v>
      </c>
    </row>
    <row r="826" spans="1:5">
      <c r="A826" s="55" t="s">
        <v>1596</v>
      </c>
      <c r="B826" s="38">
        <v>1.7470000000000001</v>
      </c>
      <c r="C826" s="38">
        <v>2.37</v>
      </c>
      <c r="D826" s="38">
        <v>2.673</v>
      </c>
      <c r="E826" s="38">
        <v>2.8959999999999999</v>
      </c>
    </row>
    <row r="827" spans="1:5">
      <c r="A827" s="55" t="s">
        <v>1597</v>
      </c>
      <c r="B827" s="38">
        <v>1.8640000000000001</v>
      </c>
      <c r="C827" s="38">
        <v>2.4449999999999998</v>
      </c>
      <c r="D827" s="38">
        <v>2.7250000000000001</v>
      </c>
      <c r="E827" s="38">
        <v>2.891</v>
      </c>
    </row>
    <row r="828" spans="1:5">
      <c r="A828" s="55" t="s">
        <v>1598</v>
      </c>
      <c r="B828" s="38">
        <v>1.7769999999999999</v>
      </c>
      <c r="C828" s="38">
        <v>2.3149999999999999</v>
      </c>
      <c r="D828" s="38">
        <v>2.5990000000000002</v>
      </c>
      <c r="E828" s="38">
        <v>2.7879999999999998</v>
      </c>
    </row>
    <row r="829" spans="1:5">
      <c r="A829" s="55" t="s">
        <v>1599</v>
      </c>
      <c r="B829" s="38">
        <v>1.7609999999999999</v>
      </c>
      <c r="C829" s="38">
        <v>2.3069999999999999</v>
      </c>
      <c r="D829" s="38">
        <v>2.6019999999999999</v>
      </c>
      <c r="E829" s="38">
        <v>2.8359999999999999</v>
      </c>
    </row>
    <row r="830" spans="1:5">
      <c r="A830" s="55" t="s">
        <v>1600</v>
      </c>
      <c r="B830" s="38">
        <v>1.7909999999999999</v>
      </c>
      <c r="C830" s="38">
        <v>2.35</v>
      </c>
      <c r="D830" s="38">
        <v>2.6269999999999998</v>
      </c>
      <c r="E830" s="38">
        <v>2.8220000000000001</v>
      </c>
    </row>
    <row r="831" spans="1:5">
      <c r="A831" s="55" t="s">
        <v>1601</v>
      </c>
      <c r="B831" s="38">
        <v>1.8089999999999999</v>
      </c>
      <c r="C831" s="38">
        <v>2.3570000000000002</v>
      </c>
      <c r="D831" s="38">
        <v>2.6280000000000001</v>
      </c>
      <c r="E831" s="38">
        <v>2.8279999999999998</v>
      </c>
    </row>
    <row r="832" spans="1:5">
      <c r="A832" s="55" t="s">
        <v>1602</v>
      </c>
      <c r="B832" s="38">
        <v>1.93</v>
      </c>
      <c r="C832" s="38">
        <v>2.4569999999999999</v>
      </c>
      <c r="D832" s="38">
        <v>2.7130000000000001</v>
      </c>
      <c r="E832" s="38">
        <v>2.8530000000000002</v>
      </c>
    </row>
    <row r="833" spans="1:5">
      <c r="A833" s="55" t="s">
        <v>1603</v>
      </c>
      <c r="B833" s="38">
        <v>2.073</v>
      </c>
      <c r="C833" s="38">
        <v>2.5350000000000001</v>
      </c>
      <c r="D833" s="38">
        <v>2.7839999999999998</v>
      </c>
      <c r="E833" s="38">
        <v>2.9279999999999999</v>
      </c>
    </row>
    <row r="834" spans="1:5">
      <c r="A834" s="55" t="s">
        <v>1604</v>
      </c>
      <c r="B834" s="38">
        <v>2.077</v>
      </c>
      <c r="C834" s="38">
        <v>2.5030000000000001</v>
      </c>
      <c r="D834" s="38">
        <v>2.7429999999999999</v>
      </c>
      <c r="E834" s="38">
        <v>2.9089999999999998</v>
      </c>
    </row>
    <row r="835" spans="1:5">
      <c r="A835" s="55" t="s">
        <v>1605</v>
      </c>
      <c r="B835" s="38">
        <v>2.097</v>
      </c>
      <c r="C835" s="38">
        <v>2.5190000000000001</v>
      </c>
      <c r="D835" s="38">
        <v>2.7549999999999999</v>
      </c>
      <c r="E835" s="38">
        <v>2.9590000000000001</v>
      </c>
    </row>
    <row r="836" spans="1:5">
      <c r="A836" s="55" t="s">
        <v>1606</v>
      </c>
      <c r="B836" s="38">
        <v>2.1070000000000002</v>
      </c>
      <c r="C836" s="38">
        <v>2.5059999999999998</v>
      </c>
      <c r="D836" s="38">
        <v>2.7480000000000002</v>
      </c>
      <c r="E836" s="38">
        <v>3.004</v>
      </c>
    </row>
    <row r="837" spans="1:5">
      <c r="A837" s="55" t="s">
        <v>1607</v>
      </c>
      <c r="B837" s="38">
        <v>2.1419999999999999</v>
      </c>
      <c r="C837" s="38">
        <v>2.5430000000000001</v>
      </c>
      <c r="D837" s="38">
        <v>2.7959999999999998</v>
      </c>
      <c r="E837" s="38">
        <v>3.0779999999999998</v>
      </c>
    </row>
    <row r="838" spans="1:5">
      <c r="A838" s="55" t="s">
        <v>1608</v>
      </c>
      <c r="B838" s="38">
        <v>2.101</v>
      </c>
      <c r="C838" s="38">
        <v>2.4870000000000001</v>
      </c>
      <c r="D838" s="38">
        <v>2.746</v>
      </c>
      <c r="E838" s="38">
        <v>3.069</v>
      </c>
    </row>
    <row r="839" spans="1:5">
      <c r="A839" s="55" t="s">
        <v>1609</v>
      </c>
      <c r="B839" s="38">
        <v>2.0049999999999999</v>
      </c>
      <c r="C839" s="38">
        <v>2.3610000000000002</v>
      </c>
      <c r="D839" s="38">
        <v>2.6219999999999999</v>
      </c>
      <c r="E839" s="38">
        <v>2.9670000000000001</v>
      </c>
    </row>
    <row r="840" spans="1:5">
      <c r="A840" s="55" t="s">
        <v>1610</v>
      </c>
      <c r="B840" s="38">
        <v>2.1120000000000001</v>
      </c>
      <c r="C840" s="38">
        <v>2.464</v>
      </c>
      <c r="D840" s="38">
        <v>2.722</v>
      </c>
      <c r="E840" s="38">
        <v>3.0619999999999998</v>
      </c>
    </row>
    <row r="841" spans="1:5">
      <c r="A841" s="55" t="s">
        <v>1611</v>
      </c>
      <c r="B841" s="38">
        <v>2.1880000000000002</v>
      </c>
      <c r="C841" s="38">
        <v>2.544</v>
      </c>
      <c r="D841" s="38">
        <v>2.7970000000000002</v>
      </c>
      <c r="E841" s="38">
        <v>3.1070000000000002</v>
      </c>
    </row>
    <row r="842" spans="1:5">
      <c r="A842" s="55" t="s">
        <v>1612</v>
      </c>
      <c r="B842" s="38">
        <v>2.2509999999999999</v>
      </c>
      <c r="C842" s="38">
        <v>2.589</v>
      </c>
      <c r="D842" s="38">
        <v>2.831</v>
      </c>
      <c r="E842" s="38">
        <v>3.0790000000000002</v>
      </c>
    </row>
    <row r="843" spans="1:5">
      <c r="A843" s="55" t="s">
        <v>1613</v>
      </c>
      <c r="B843" s="38">
        <v>2.38</v>
      </c>
      <c r="C843" s="38">
        <v>2.6920000000000002</v>
      </c>
      <c r="D843" s="38">
        <v>2.9159999999999999</v>
      </c>
      <c r="E843" s="38">
        <v>3.1259999999999999</v>
      </c>
    </row>
    <row r="844" spans="1:5">
      <c r="A844" s="55" t="s">
        <v>1614</v>
      </c>
      <c r="B844" s="38">
        <v>2.351</v>
      </c>
      <c r="C844" s="38">
        <v>2.649</v>
      </c>
      <c r="D844" s="38">
        <v>2.879</v>
      </c>
      <c r="E844" s="38">
        <v>3.1019999999999999</v>
      </c>
    </row>
    <row r="845" spans="1:5">
      <c r="A845" s="55" t="s">
        <v>1615</v>
      </c>
      <c r="B845" s="38">
        <v>2.383</v>
      </c>
      <c r="C845" s="38">
        <v>2.6760000000000002</v>
      </c>
      <c r="D845" s="38">
        <v>2.8610000000000002</v>
      </c>
      <c r="E845" s="38">
        <v>3.0529999999999999</v>
      </c>
    </row>
    <row r="846" spans="1:5">
      <c r="A846" s="55" t="s">
        <v>1616</v>
      </c>
      <c r="B846" s="38">
        <v>2.4079999999999999</v>
      </c>
      <c r="C846" s="38">
        <v>2.6779999999999999</v>
      </c>
      <c r="D846" s="38">
        <v>2.8610000000000002</v>
      </c>
      <c r="E846" s="38">
        <v>3.0790000000000002</v>
      </c>
    </row>
    <row r="847" spans="1:5">
      <c r="A847" s="55" t="s">
        <v>1617</v>
      </c>
      <c r="B847" s="38">
        <v>2.4510000000000001</v>
      </c>
      <c r="C847" s="38">
        <v>2.7080000000000002</v>
      </c>
      <c r="D847" s="38">
        <v>2.895</v>
      </c>
      <c r="E847" s="38">
        <v>3.1190000000000002</v>
      </c>
    </row>
    <row r="848" spans="1:5">
      <c r="A848" s="55" t="s">
        <v>1618</v>
      </c>
      <c r="B848" s="38">
        <v>2.56</v>
      </c>
      <c r="C848" s="38">
        <v>2.827</v>
      </c>
      <c r="D848" s="38">
        <v>3.0219999999999998</v>
      </c>
      <c r="E848" s="38">
        <v>3.2589999999999999</v>
      </c>
    </row>
    <row r="849" spans="1:5">
      <c r="A849" s="55" t="s">
        <v>1619</v>
      </c>
      <c r="B849" s="38">
        <v>2.7639999999999998</v>
      </c>
      <c r="C849" s="38">
        <v>3.0179999999999998</v>
      </c>
      <c r="D849" s="38">
        <v>3.1960000000000002</v>
      </c>
      <c r="E849" s="38">
        <v>3.3940000000000001</v>
      </c>
    </row>
    <row r="850" spans="1:5">
      <c r="A850" s="55" t="s">
        <v>1620</v>
      </c>
      <c r="B850" s="38">
        <v>2.8959999999999999</v>
      </c>
      <c r="C850" s="38">
        <v>3.1309999999999998</v>
      </c>
      <c r="D850" s="38">
        <v>3.3079999999999998</v>
      </c>
      <c r="E850" s="38">
        <v>3.5390000000000001</v>
      </c>
    </row>
    <row r="851" spans="1:5">
      <c r="A851" s="55" t="s">
        <v>1621</v>
      </c>
      <c r="B851" s="38">
        <v>2.7250000000000001</v>
      </c>
      <c r="C851" s="38">
        <v>2.9609999999999999</v>
      </c>
      <c r="D851" s="38">
        <v>3.141</v>
      </c>
      <c r="E851" s="38">
        <v>3.387</v>
      </c>
    </row>
    <row r="852" spans="1:5">
      <c r="A852" s="55" t="s">
        <v>1622</v>
      </c>
      <c r="B852" s="38">
        <v>2.7570000000000001</v>
      </c>
      <c r="C852" s="38">
        <v>3.0219999999999998</v>
      </c>
      <c r="D852" s="38">
        <v>3.2160000000000002</v>
      </c>
      <c r="E852" s="38">
        <v>3.4670000000000001</v>
      </c>
    </row>
    <row r="853" spans="1:5">
      <c r="A853" s="55" t="s">
        <v>1623</v>
      </c>
      <c r="B853" s="38">
        <v>2.77</v>
      </c>
      <c r="C853" s="38">
        <v>3.0409999999999999</v>
      </c>
      <c r="D853" s="38">
        <v>3.2570000000000001</v>
      </c>
      <c r="E853" s="38">
        <v>3.5619999999999998</v>
      </c>
    </row>
    <row r="854" spans="1:5">
      <c r="A854" s="55" t="s">
        <v>1624</v>
      </c>
      <c r="B854" s="38">
        <v>2.714</v>
      </c>
      <c r="C854" s="38">
        <v>3.0009999999999999</v>
      </c>
      <c r="D854" s="38">
        <v>3.2250000000000001</v>
      </c>
      <c r="E854" s="38">
        <v>3.5630000000000002</v>
      </c>
    </row>
    <row r="855" spans="1:5">
      <c r="A855" s="55" t="s">
        <v>1625</v>
      </c>
      <c r="B855" s="38">
        <v>2.6789999999999998</v>
      </c>
      <c r="C855" s="38">
        <v>2.956</v>
      </c>
      <c r="D855" s="38">
        <v>3.1680000000000001</v>
      </c>
      <c r="E855" s="38">
        <v>3.5030000000000001</v>
      </c>
    </row>
    <row r="856" spans="1:5">
      <c r="A856" s="55" t="s">
        <v>1626</v>
      </c>
      <c r="B856" s="38">
        <v>2.6360000000000001</v>
      </c>
      <c r="C856" s="38">
        <v>2.903</v>
      </c>
      <c r="D856" s="38">
        <v>3.1070000000000002</v>
      </c>
      <c r="E856" s="38">
        <v>3.4249999999999998</v>
      </c>
    </row>
    <row r="857" spans="1:5">
      <c r="A857" s="55" t="s">
        <v>1627</v>
      </c>
      <c r="B857" s="38">
        <v>2.5640000000000001</v>
      </c>
      <c r="C857" s="38">
        <v>2.8239999999999998</v>
      </c>
      <c r="D857" s="38">
        <v>3.0470000000000002</v>
      </c>
      <c r="E857" s="38">
        <v>3.4009999999999998</v>
      </c>
    </row>
    <row r="858" spans="1:5">
      <c r="A858" s="55" t="s">
        <v>1628</v>
      </c>
      <c r="B858" s="38">
        <v>2.58</v>
      </c>
      <c r="C858" s="38">
        <v>2.8439999999999999</v>
      </c>
      <c r="D858" s="38">
        <v>3.06</v>
      </c>
      <c r="E858" s="38">
        <v>3.3839999999999999</v>
      </c>
    </row>
    <row r="859" spans="1:5">
      <c r="A859" s="55" t="s">
        <v>1629</v>
      </c>
      <c r="B859" s="38">
        <v>2.6030000000000002</v>
      </c>
      <c r="C859" s="38">
        <v>2.8780000000000001</v>
      </c>
      <c r="D859" s="38">
        <v>3.089</v>
      </c>
      <c r="E859" s="38">
        <v>3.4039999999999999</v>
      </c>
    </row>
    <row r="860" spans="1:5">
      <c r="A860" s="55" t="s">
        <v>1630</v>
      </c>
      <c r="B860" s="38">
        <v>2.6240000000000001</v>
      </c>
      <c r="C860" s="38">
        <v>2.899</v>
      </c>
      <c r="D860" s="38">
        <v>3.117</v>
      </c>
      <c r="E860" s="38">
        <v>3.4590000000000001</v>
      </c>
    </row>
    <row r="861" spans="1:5">
      <c r="A861" s="55" t="s">
        <v>1631</v>
      </c>
      <c r="B861" s="38">
        <v>2.5640000000000001</v>
      </c>
      <c r="C861" s="38">
        <v>2.8570000000000002</v>
      </c>
      <c r="D861" s="38">
        <v>3.0590000000000002</v>
      </c>
      <c r="E861" s="38">
        <v>3.383</v>
      </c>
    </row>
    <row r="862" spans="1:5">
      <c r="A862" s="55" t="s">
        <v>1632</v>
      </c>
      <c r="B862" s="38">
        <v>2.5139999999999998</v>
      </c>
      <c r="C862" s="38">
        <v>2.8069999999999999</v>
      </c>
      <c r="D862" s="38">
        <v>3.008</v>
      </c>
      <c r="E862" s="38">
        <v>3.31</v>
      </c>
    </row>
    <row r="863" spans="1:5">
      <c r="A863" s="55" t="s">
        <v>1633</v>
      </c>
      <c r="B863" s="38">
        <v>2.5329999999999999</v>
      </c>
      <c r="C863" s="38">
        <v>2.8260000000000001</v>
      </c>
      <c r="D863" s="38">
        <v>3.0249999999999999</v>
      </c>
      <c r="E863" s="38">
        <v>3.3260000000000001</v>
      </c>
    </row>
    <row r="864" spans="1:5">
      <c r="A864" s="55" t="s">
        <v>1634</v>
      </c>
      <c r="B864" s="38">
        <v>2.5310000000000001</v>
      </c>
      <c r="C864" s="38">
        <v>2.8380000000000001</v>
      </c>
      <c r="D864" s="38">
        <v>3.0350000000000001</v>
      </c>
      <c r="E864" s="38">
        <v>3.3170000000000002</v>
      </c>
    </row>
    <row r="865" spans="1:5">
      <c r="A865" s="55" t="s">
        <v>1635</v>
      </c>
      <c r="B865" s="38">
        <v>2.423</v>
      </c>
      <c r="C865" s="38">
        <v>2.7450000000000001</v>
      </c>
      <c r="D865" s="38">
        <v>2.95</v>
      </c>
      <c r="E865" s="38">
        <v>3.24</v>
      </c>
    </row>
    <row r="866" spans="1:5">
      <c r="A866" s="55" t="s">
        <v>1636</v>
      </c>
      <c r="B866" s="38">
        <v>2.4129999999999998</v>
      </c>
      <c r="C866" s="38">
        <v>2.738</v>
      </c>
      <c r="D866" s="38">
        <v>2.9449999999999998</v>
      </c>
      <c r="E866" s="38">
        <v>3.202</v>
      </c>
    </row>
    <row r="867" spans="1:5">
      <c r="A867" s="55" t="s">
        <v>1637</v>
      </c>
      <c r="B867" s="38">
        <v>2.4449999999999998</v>
      </c>
      <c r="C867" s="38">
        <v>2.7719999999999998</v>
      </c>
      <c r="D867" s="38">
        <v>2.9769999999999999</v>
      </c>
      <c r="E867" s="38">
        <v>3.2530000000000001</v>
      </c>
    </row>
    <row r="868" spans="1:5">
      <c r="A868" s="55" t="s">
        <v>1638</v>
      </c>
      <c r="B868" s="38">
        <v>2.4380000000000002</v>
      </c>
      <c r="C868" s="38">
        <v>2.7810000000000001</v>
      </c>
      <c r="D868" s="38">
        <v>2.984</v>
      </c>
      <c r="E868" s="38">
        <v>3.254</v>
      </c>
    </row>
    <row r="869" spans="1:5">
      <c r="A869" s="55" t="s">
        <v>1639</v>
      </c>
      <c r="B869" s="38">
        <v>2.5190000000000001</v>
      </c>
      <c r="C869" s="38">
        <v>2.863</v>
      </c>
      <c r="D869" s="38">
        <v>3.0750000000000002</v>
      </c>
      <c r="E869" s="38">
        <v>3.3519999999999999</v>
      </c>
    </row>
    <row r="870" spans="1:5">
      <c r="A870" s="55" t="s">
        <v>1640</v>
      </c>
      <c r="B870" s="38">
        <v>2.5720000000000001</v>
      </c>
      <c r="C870" s="38">
        <v>2.9129999999999998</v>
      </c>
      <c r="D870" s="38">
        <v>3.1320000000000001</v>
      </c>
      <c r="E870" s="38">
        <v>3.4169999999999998</v>
      </c>
    </row>
    <row r="871" spans="1:5">
      <c r="A871" s="55" t="s">
        <v>1641</v>
      </c>
      <c r="B871" s="38">
        <v>2.677</v>
      </c>
      <c r="C871" s="38">
        <v>3.0089999999999999</v>
      </c>
      <c r="D871" s="38">
        <v>3.2250000000000001</v>
      </c>
      <c r="E871" s="38">
        <v>3.4980000000000002</v>
      </c>
    </row>
    <row r="872" spans="1:5">
      <c r="A872" s="55" t="s">
        <v>1642</v>
      </c>
      <c r="B872" s="38">
        <v>2.6520000000000001</v>
      </c>
      <c r="C872" s="38">
        <v>2.976</v>
      </c>
      <c r="D872" s="38">
        <v>3.1970000000000001</v>
      </c>
      <c r="E872" s="38">
        <v>3.4830000000000001</v>
      </c>
    </row>
    <row r="873" spans="1:5">
      <c r="A873" s="55" t="s">
        <v>1643</v>
      </c>
      <c r="B873" s="38">
        <v>2.669</v>
      </c>
      <c r="C873" s="38">
        <v>3.0019999999999998</v>
      </c>
      <c r="D873" s="38">
        <v>3.2189999999999999</v>
      </c>
      <c r="E873" s="38">
        <v>3.484</v>
      </c>
    </row>
    <row r="874" spans="1:5">
      <c r="A874" s="55" t="s">
        <v>1644</v>
      </c>
      <c r="B874" s="38">
        <v>2.8340000000000001</v>
      </c>
      <c r="C874" s="38">
        <v>3.1520000000000001</v>
      </c>
      <c r="D874" s="38">
        <v>3.343</v>
      </c>
      <c r="E874" s="38">
        <v>3.5550000000000002</v>
      </c>
    </row>
    <row r="875" spans="1:5">
      <c r="A875" s="55" t="s">
        <v>1645</v>
      </c>
      <c r="B875" s="38">
        <v>2.7810000000000001</v>
      </c>
      <c r="C875" s="38">
        <v>3.105</v>
      </c>
      <c r="D875" s="38">
        <v>3.3029999999999999</v>
      </c>
      <c r="E875" s="38">
        <v>3.5449999999999999</v>
      </c>
    </row>
    <row r="876" spans="1:5">
      <c r="A876" s="55" t="s">
        <v>1646</v>
      </c>
      <c r="B876" s="38">
        <v>2.7730000000000001</v>
      </c>
      <c r="C876" s="38">
        <v>3.12</v>
      </c>
      <c r="D876" s="38">
        <v>3.3290000000000002</v>
      </c>
      <c r="E876" s="38">
        <v>3.6070000000000002</v>
      </c>
    </row>
    <row r="877" spans="1:5">
      <c r="A877" s="55" t="s">
        <v>1647</v>
      </c>
      <c r="B877" s="38">
        <v>2.7909999999999999</v>
      </c>
      <c r="C877" s="38">
        <v>3.1459999999999999</v>
      </c>
      <c r="D877" s="38">
        <v>3.363</v>
      </c>
      <c r="E877" s="38">
        <v>3.6739999999999999</v>
      </c>
    </row>
    <row r="878" spans="1:5">
      <c r="A878" s="55" t="s">
        <v>1648</v>
      </c>
      <c r="B878" s="38">
        <v>3.1320000000000001</v>
      </c>
      <c r="C878" s="38">
        <v>3.4780000000000002</v>
      </c>
      <c r="D878" s="38">
        <v>3.6779999999999999</v>
      </c>
      <c r="E878" s="38">
        <v>3.9569999999999999</v>
      </c>
    </row>
    <row r="879" spans="1:5">
      <c r="A879" s="55" t="s">
        <v>1649</v>
      </c>
      <c r="B879" s="38">
        <v>3.3650000000000002</v>
      </c>
      <c r="C879" s="38">
        <v>3.7189999999999999</v>
      </c>
      <c r="D879" s="38">
        <v>3.92</v>
      </c>
      <c r="E879" s="38">
        <v>4.2</v>
      </c>
    </row>
    <row r="880" spans="1:5">
      <c r="A880" s="55" t="s">
        <v>1650</v>
      </c>
      <c r="B880" s="38">
        <v>3.234</v>
      </c>
      <c r="C880" s="38">
        <v>3.5230000000000001</v>
      </c>
      <c r="D880" s="38">
        <v>3.7160000000000002</v>
      </c>
      <c r="E880" s="38">
        <v>3.9929999999999999</v>
      </c>
    </row>
    <row r="881" spans="1:5">
      <c r="A881" s="55" t="s">
        <v>1651</v>
      </c>
      <c r="B881" s="38">
        <v>3.3580000000000001</v>
      </c>
      <c r="C881" s="38">
        <v>3.6560000000000001</v>
      </c>
      <c r="D881" s="38">
        <v>3.85</v>
      </c>
      <c r="E881" s="38">
        <v>4.1280000000000001</v>
      </c>
    </row>
    <row r="882" spans="1:5">
      <c r="A882" s="55" t="s">
        <v>1652</v>
      </c>
      <c r="B882" s="38">
        <v>3.327</v>
      </c>
      <c r="C882" s="38">
        <v>3.633</v>
      </c>
      <c r="D882" s="38">
        <v>3.819</v>
      </c>
      <c r="E882" s="38">
        <v>4.0659999999999998</v>
      </c>
    </row>
    <row r="883" spans="1:5">
      <c r="A883" s="55" t="s">
        <v>1653</v>
      </c>
      <c r="B883" s="38">
        <v>3.222</v>
      </c>
      <c r="C883" s="38">
        <v>3.5830000000000002</v>
      </c>
      <c r="D883" s="38">
        <v>3.7879999999999998</v>
      </c>
      <c r="E883" s="38">
        <v>4.0650000000000004</v>
      </c>
    </row>
    <row r="884" spans="1:5">
      <c r="A884" s="55" t="s">
        <v>1654</v>
      </c>
      <c r="B884" s="38">
        <v>3.0859999999999999</v>
      </c>
      <c r="C884" s="38">
        <v>3.4849999999999999</v>
      </c>
      <c r="D884" s="38">
        <v>3.698</v>
      </c>
      <c r="E884" s="38">
        <v>3.988</v>
      </c>
    </row>
    <row r="885" spans="1:5">
      <c r="A885" s="55" t="s">
        <v>1655</v>
      </c>
      <c r="B885" s="38">
        <v>2.9849999999999999</v>
      </c>
      <c r="C885" s="38">
        <v>3.3809999999999998</v>
      </c>
      <c r="D885" s="38">
        <v>3.581</v>
      </c>
      <c r="E885" s="38">
        <v>3.855</v>
      </c>
    </row>
    <row r="886" spans="1:5">
      <c r="A886" s="55" t="s">
        <v>1656</v>
      </c>
      <c r="B886" s="38">
        <v>2.831</v>
      </c>
      <c r="C886" s="38">
        <v>3.2349999999999999</v>
      </c>
      <c r="D886" s="38">
        <v>3.4369999999999998</v>
      </c>
      <c r="E886" s="38">
        <v>3.7210000000000001</v>
      </c>
    </row>
    <row r="887" spans="1:5">
      <c r="A887" s="55" t="s">
        <v>1657</v>
      </c>
      <c r="B887" s="38">
        <v>2.9020000000000001</v>
      </c>
      <c r="C887" s="38">
        <v>3.31</v>
      </c>
      <c r="D887" s="38">
        <v>3.5089999999999999</v>
      </c>
      <c r="E887" s="38">
        <v>3.778</v>
      </c>
    </row>
    <row r="888" spans="1:5">
      <c r="A888" s="55" t="s">
        <v>1658</v>
      </c>
      <c r="B888" s="38">
        <v>2.8769999999999998</v>
      </c>
      <c r="C888" s="38">
        <v>3.302</v>
      </c>
      <c r="D888" s="38">
        <v>3.4990000000000001</v>
      </c>
      <c r="E888" s="38">
        <v>3.7440000000000002</v>
      </c>
    </row>
    <row r="889" spans="1:5">
      <c r="A889" s="55" t="s">
        <v>1659</v>
      </c>
      <c r="B889" s="38">
        <v>2.81</v>
      </c>
      <c r="C889" s="38">
        <v>3.2330000000000001</v>
      </c>
      <c r="D889" s="38">
        <v>3.4340000000000002</v>
      </c>
      <c r="E889" s="38">
        <v>3.6949999999999998</v>
      </c>
    </row>
    <row r="890" spans="1:5">
      <c r="A890" s="55" t="s">
        <v>1660</v>
      </c>
      <c r="B890" s="38">
        <v>2.7290000000000001</v>
      </c>
      <c r="C890" s="38">
        <v>3.1549999999999998</v>
      </c>
      <c r="D890" s="38">
        <v>3.3610000000000002</v>
      </c>
      <c r="E890" s="38">
        <v>3.6619999999999999</v>
      </c>
    </row>
    <row r="891" spans="1:5">
      <c r="A891" s="55" t="s">
        <v>1661</v>
      </c>
      <c r="B891" s="38">
        <v>2.5880000000000001</v>
      </c>
      <c r="C891" s="38">
        <v>3.0049999999999999</v>
      </c>
      <c r="D891" s="38">
        <v>3.234</v>
      </c>
      <c r="E891" s="38">
        <v>3.597</v>
      </c>
    </row>
    <row r="892" spans="1:5">
      <c r="A892" s="55" t="s">
        <v>1662</v>
      </c>
      <c r="B892" s="38">
        <v>2.56</v>
      </c>
      <c r="C892" s="38">
        <v>2.9710000000000001</v>
      </c>
      <c r="D892" s="38">
        <v>3.1970000000000001</v>
      </c>
      <c r="E892" s="38">
        <v>3.5649999999999999</v>
      </c>
    </row>
    <row r="893" spans="1:5">
      <c r="A893" s="55" t="s">
        <v>1663</v>
      </c>
      <c r="B893" s="38">
        <v>2.581</v>
      </c>
      <c r="C893" s="38">
        <v>2.98</v>
      </c>
      <c r="D893" s="38">
        <v>3.1869999999999998</v>
      </c>
      <c r="E893" s="38">
        <v>3.5529999999999999</v>
      </c>
    </row>
    <row r="894" spans="1:5">
      <c r="A894" s="55" t="s">
        <v>1664</v>
      </c>
      <c r="B894" s="38">
        <v>2.5339999999999998</v>
      </c>
      <c r="C894" s="38">
        <v>2.9129999999999998</v>
      </c>
      <c r="D894" s="38">
        <v>3.0939999999999999</v>
      </c>
      <c r="E894" s="38">
        <v>3.4089999999999998</v>
      </c>
    </row>
    <row r="895" spans="1:5">
      <c r="A895" s="55" t="s">
        <v>1665</v>
      </c>
      <c r="B895" s="38">
        <v>2.589</v>
      </c>
      <c r="C895" s="38">
        <v>2.9550000000000001</v>
      </c>
      <c r="D895" s="38">
        <v>3.141</v>
      </c>
      <c r="E895" s="38">
        <v>3.4729999999999999</v>
      </c>
    </row>
    <row r="896" spans="1:5">
      <c r="A896" s="55" t="s">
        <v>1666</v>
      </c>
      <c r="B896" s="38">
        <v>2.6480000000000001</v>
      </c>
      <c r="C896" s="38">
        <v>2.9950000000000001</v>
      </c>
      <c r="D896" s="38">
        <v>3.1720000000000002</v>
      </c>
      <c r="E896" s="38">
        <v>3.484</v>
      </c>
    </row>
    <row r="897" spans="1:5">
      <c r="A897" s="55" t="s">
        <v>1667</v>
      </c>
      <c r="B897" s="38">
        <v>2.68</v>
      </c>
      <c r="C897" s="38">
        <v>3.01</v>
      </c>
      <c r="D897" s="38">
        <v>3.1920000000000002</v>
      </c>
      <c r="E897" s="38">
        <v>3.5150000000000001</v>
      </c>
    </row>
    <row r="898" spans="1:5">
      <c r="A898" s="55" t="s">
        <v>1668</v>
      </c>
      <c r="B898" s="38">
        <v>2.5870000000000002</v>
      </c>
      <c r="C898" s="38">
        <v>2.9169999999999998</v>
      </c>
      <c r="D898" s="38">
        <v>3.0990000000000002</v>
      </c>
      <c r="E898" s="38">
        <v>3.4209999999999998</v>
      </c>
    </row>
    <row r="899" spans="1:5">
      <c r="A899" s="55" t="s">
        <v>1669</v>
      </c>
      <c r="B899" s="38">
        <v>2.57</v>
      </c>
      <c r="C899" s="38">
        <v>2.9079999999999999</v>
      </c>
      <c r="D899" s="38">
        <v>3.0870000000000002</v>
      </c>
      <c r="E899" s="38">
        <v>3.3929999999999998</v>
      </c>
    </row>
    <row r="900" spans="1:5">
      <c r="A900" s="55" t="s">
        <v>1670</v>
      </c>
      <c r="B900" s="38">
        <v>2.6779999999999999</v>
      </c>
      <c r="C900" s="38">
        <v>3.0219999999999998</v>
      </c>
      <c r="D900" s="38">
        <v>3.1680000000000001</v>
      </c>
      <c r="E900" s="38">
        <v>3.4159999999999999</v>
      </c>
    </row>
    <row r="901" spans="1:5">
      <c r="A901" s="55" t="s">
        <v>1671</v>
      </c>
      <c r="B901" s="38">
        <v>2.6709999999999998</v>
      </c>
      <c r="C901" s="38">
        <v>3.0169999999999999</v>
      </c>
      <c r="D901" s="38">
        <v>3.1549999999999998</v>
      </c>
      <c r="E901" s="38">
        <v>3.4129999999999998</v>
      </c>
    </row>
    <row r="902" spans="1:5">
      <c r="A902" s="55" t="s">
        <v>1672</v>
      </c>
      <c r="B902" s="38">
        <v>2.754</v>
      </c>
      <c r="C902" s="38">
        <v>3.073</v>
      </c>
      <c r="D902" s="38">
        <v>3.2029999999999998</v>
      </c>
      <c r="E902" s="38">
        <v>3.4420000000000002</v>
      </c>
    </row>
    <row r="903" spans="1:5">
      <c r="A903" s="55" t="s">
        <v>1673</v>
      </c>
      <c r="B903" s="38">
        <v>2.8559999999999999</v>
      </c>
      <c r="C903" s="38">
        <v>3.169</v>
      </c>
      <c r="D903" s="38">
        <v>3.2989999999999999</v>
      </c>
      <c r="E903" s="38">
        <v>3.5169999999999999</v>
      </c>
    </row>
    <row r="904" spans="1:5">
      <c r="A904" s="55" t="s">
        <v>1674</v>
      </c>
      <c r="B904" s="38">
        <v>2.907</v>
      </c>
      <c r="C904" s="38">
        <v>3.2130000000000001</v>
      </c>
      <c r="D904" s="38">
        <v>3.3410000000000002</v>
      </c>
      <c r="E904" s="38">
        <v>3.5510000000000002</v>
      </c>
    </row>
    <row r="905" spans="1:5">
      <c r="A905" s="55" t="s">
        <v>1675</v>
      </c>
      <c r="B905" s="38">
        <v>2.9169999999999998</v>
      </c>
      <c r="C905" s="38">
        <v>3.2269999999999999</v>
      </c>
      <c r="D905" s="38">
        <v>3.3559999999999999</v>
      </c>
      <c r="E905" s="38">
        <v>3.5779999999999998</v>
      </c>
    </row>
    <row r="906" spans="1:5">
      <c r="A906" s="55" t="s">
        <v>1676</v>
      </c>
      <c r="B906" s="38">
        <v>2.831</v>
      </c>
      <c r="C906" s="38">
        <v>3.125</v>
      </c>
      <c r="D906" s="38">
        <v>3.2450000000000001</v>
      </c>
      <c r="E906" s="38">
        <v>3.4460000000000002</v>
      </c>
    </row>
    <row r="907" spans="1:5">
      <c r="A907" s="55" t="s">
        <v>1677</v>
      </c>
      <c r="B907" s="38">
        <v>2.7749999999999999</v>
      </c>
      <c r="C907" s="38">
        <v>3.0539999999999998</v>
      </c>
      <c r="D907" s="38">
        <v>3.1680000000000001</v>
      </c>
      <c r="E907" s="38">
        <v>3.359</v>
      </c>
    </row>
    <row r="908" spans="1:5">
      <c r="A908" s="55" t="s">
        <v>1678</v>
      </c>
      <c r="B908" s="38">
        <v>2.7989999999999999</v>
      </c>
      <c r="C908" s="38">
        <v>3.0630000000000002</v>
      </c>
      <c r="D908" s="38">
        <v>3.1549999999999998</v>
      </c>
      <c r="E908" s="38">
        <v>3.3460000000000001</v>
      </c>
    </row>
    <row r="909" spans="1:5">
      <c r="A909" s="55" t="s">
        <v>1679</v>
      </c>
      <c r="B909" s="38">
        <v>2.6869999999999998</v>
      </c>
      <c r="C909" s="38">
        <v>2.9449999999999998</v>
      </c>
      <c r="D909" s="38">
        <v>3.036</v>
      </c>
      <c r="E909" s="38">
        <v>3.2530000000000001</v>
      </c>
    </row>
    <row r="910" spans="1:5">
      <c r="A910" s="55" t="s">
        <v>1680</v>
      </c>
      <c r="B910" s="38">
        <v>2.6429999999999998</v>
      </c>
      <c r="C910" s="38">
        <v>2.8820000000000001</v>
      </c>
      <c r="D910" s="38">
        <v>2.9790000000000001</v>
      </c>
      <c r="E910" s="38">
        <v>3.2109999999999999</v>
      </c>
    </row>
    <row r="911" spans="1:5">
      <c r="A911" s="55" t="s">
        <v>1681</v>
      </c>
      <c r="B911" s="38">
        <v>2.4849999999999999</v>
      </c>
      <c r="C911" s="38">
        <v>2.6920000000000002</v>
      </c>
      <c r="D911" s="38">
        <v>2.8010000000000002</v>
      </c>
      <c r="E911" s="38">
        <v>3.0630000000000002</v>
      </c>
    </row>
    <row r="912" spans="1:5">
      <c r="A912" s="55" t="s">
        <v>1682</v>
      </c>
      <c r="B912" s="38">
        <v>2.5139999999999998</v>
      </c>
      <c r="C912" s="38">
        <v>2.7229999999999999</v>
      </c>
      <c r="D912" s="38">
        <v>2.83</v>
      </c>
      <c r="E912" s="38">
        <v>3.0840000000000001</v>
      </c>
    </row>
    <row r="913" spans="1:5">
      <c r="A913" s="55" t="s">
        <v>1683</v>
      </c>
      <c r="B913" s="38">
        <v>2.512</v>
      </c>
      <c r="C913" s="38">
        <v>2.67</v>
      </c>
      <c r="D913" s="38">
        <v>2.7530000000000001</v>
      </c>
      <c r="E913" s="38">
        <v>2.9849999999999999</v>
      </c>
    </row>
    <row r="914" spans="1:5">
      <c r="A914" s="55" t="s">
        <v>1684</v>
      </c>
      <c r="B914" s="38">
        <v>2.6379999999999999</v>
      </c>
      <c r="C914" s="38">
        <v>2.7850000000000001</v>
      </c>
      <c r="D914" s="38">
        <v>2.8650000000000002</v>
      </c>
      <c r="E914" s="38">
        <v>3.08</v>
      </c>
    </row>
    <row r="915" spans="1:5">
      <c r="A915" s="55" t="s">
        <v>1685</v>
      </c>
      <c r="B915" s="38">
        <v>2.7120000000000002</v>
      </c>
      <c r="C915" s="38">
        <v>2.859</v>
      </c>
      <c r="D915" s="38">
        <v>2.9350000000000001</v>
      </c>
      <c r="E915" s="38">
        <v>3.1509999999999998</v>
      </c>
    </row>
    <row r="916" spans="1:5">
      <c r="A916" s="55" t="s">
        <v>1686</v>
      </c>
      <c r="B916" s="38">
        <v>2.677</v>
      </c>
      <c r="C916" s="38">
        <v>2.831</v>
      </c>
      <c r="D916" s="38">
        <v>2.8969999999999998</v>
      </c>
      <c r="E916" s="38">
        <v>3.0910000000000002</v>
      </c>
    </row>
    <row r="917" spans="1:5">
      <c r="A917" s="55" t="s">
        <v>1687</v>
      </c>
      <c r="B917" s="38">
        <v>2.7770000000000001</v>
      </c>
      <c r="C917" s="38">
        <v>2.9590000000000001</v>
      </c>
      <c r="D917" s="38">
        <v>3.0329999999999999</v>
      </c>
      <c r="E917" s="38">
        <v>3.2210000000000001</v>
      </c>
    </row>
    <row r="918" spans="1:5">
      <c r="A918" s="55" t="s">
        <v>1688</v>
      </c>
      <c r="B918" s="38">
        <v>2.7919999999999998</v>
      </c>
      <c r="C918" s="38">
        <v>2.96</v>
      </c>
      <c r="D918" s="38">
        <v>3.024</v>
      </c>
      <c r="E918" s="38">
        <v>3.1920000000000002</v>
      </c>
    </row>
    <row r="919" spans="1:5">
      <c r="A919" s="55" t="s">
        <v>1689</v>
      </c>
      <c r="B919" s="38">
        <v>2.8460000000000001</v>
      </c>
      <c r="C919" s="38">
        <v>3.0110000000000001</v>
      </c>
      <c r="D919" s="38">
        <v>3.0760000000000001</v>
      </c>
      <c r="E919" s="38">
        <v>3.2509999999999999</v>
      </c>
    </row>
    <row r="920" spans="1:5">
      <c r="A920" s="55" t="s">
        <v>1690</v>
      </c>
      <c r="B920" s="38">
        <v>2.8650000000000002</v>
      </c>
      <c r="C920" s="38">
        <v>3.0329999999999999</v>
      </c>
      <c r="D920" s="38">
        <v>3.1080000000000001</v>
      </c>
      <c r="E920" s="38">
        <v>3.2959999999999998</v>
      </c>
    </row>
    <row r="921" spans="1:5">
      <c r="A921" s="55" t="s">
        <v>1691</v>
      </c>
      <c r="B921" s="38">
        <v>2.948</v>
      </c>
      <c r="C921" s="38">
        <v>3.1259999999999999</v>
      </c>
      <c r="D921" s="38">
        <v>3.2240000000000002</v>
      </c>
      <c r="E921" s="38">
        <v>3.4350000000000001</v>
      </c>
    </row>
    <row r="922" spans="1:5">
      <c r="A922" s="55" t="s">
        <v>1692</v>
      </c>
      <c r="B922" s="38">
        <v>2.9060000000000001</v>
      </c>
      <c r="C922" s="38">
        <v>3.0790000000000002</v>
      </c>
      <c r="D922" s="38">
        <v>3.17</v>
      </c>
      <c r="E922" s="38">
        <v>3.371</v>
      </c>
    </row>
    <row r="923" spans="1:5">
      <c r="A923" s="55" t="s">
        <v>1693</v>
      </c>
      <c r="B923" s="38">
        <v>2.782</v>
      </c>
      <c r="C923" s="38">
        <v>2.956</v>
      </c>
      <c r="D923" s="38">
        <v>3.0350000000000001</v>
      </c>
      <c r="E923" s="38">
        <v>3.2320000000000002</v>
      </c>
    </row>
    <row r="924" spans="1:5">
      <c r="A924" s="55" t="s">
        <v>1694</v>
      </c>
      <c r="B924" s="38">
        <v>2.8359999999999999</v>
      </c>
      <c r="C924" s="38">
        <v>3.012</v>
      </c>
      <c r="D924" s="38">
        <v>3.0910000000000002</v>
      </c>
      <c r="E924" s="38">
        <v>3.278</v>
      </c>
    </row>
    <row r="925" spans="1:5">
      <c r="A925" s="55" t="s">
        <v>1695</v>
      </c>
      <c r="B925" s="38">
        <v>2.883</v>
      </c>
      <c r="C925" s="38">
        <v>3.06</v>
      </c>
      <c r="D925" s="38">
        <v>3.1419999999999999</v>
      </c>
      <c r="E925" s="38">
        <v>3.3410000000000002</v>
      </c>
    </row>
    <row r="926" spans="1:5">
      <c r="A926" s="55" t="s">
        <v>1696</v>
      </c>
      <c r="B926" s="38">
        <v>2.9390000000000001</v>
      </c>
      <c r="C926" s="38">
        <v>3.1179999999999999</v>
      </c>
      <c r="D926" s="38">
        <v>3.2</v>
      </c>
      <c r="E926" s="38">
        <v>3.41</v>
      </c>
    </row>
    <row r="927" spans="1:5">
      <c r="A927" s="55" t="s">
        <v>1697</v>
      </c>
      <c r="B927" s="38">
        <v>3.0409999999999999</v>
      </c>
      <c r="C927" s="38">
        <v>3.2229999999999999</v>
      </c>
      <c r="D927" s="38">
        <v>3.3109999999999999</v>
      </c>
      <c r="E927" s="38">
        <v>3.5249999999999999</v>
      </c>
    </row>
    <row r="928" spans="1:5">
      <c r="A928" s="55" t="s">
        <v>1698</v>
      </c>
      <c r="B928" s="38">
        <v>3.1139999999999999</v>
      </c>
      <c r="C928" s="38">
        <v>3.2930000000000001</v>
      </c>
      <c r="D928" s="38">
        <v>3.383</v>
      </c>
      <c r="E928" s="38">
        <v>3.5840000000000001</v>
      </c>
    </row>
    <row r="929" spans="1:5">
      <c r="A929" s="55" t="s">
        <v>1699</v>
      </c>
      <c r="B929" s="38">
        <v>3.089</v>
      </c>
      <c r="C929" s="38">
        <v>3.2719999999999998</v>
      </c>
      <c r="D929" s="38">
        <v>3.3809999999999998</v>
      </c>
      <c r="E929" s="38">
        <v>3.6339999999999999</v>
      </c>
    </row>
    <row r="930" spans="1:5">
      <c r="A930" s="55" t="s">
        <v>1700</v>
      </c>
      <c r="B930" s="38">
        <v>3.121</v>
      </c>
      <c r="C930" s="38">
        <v>3.31</v>
      </c>
      <c r="D930" s="38">
        <v>3.43</v>
      </c>
      <c r="E930" s="38">
        <v>3.681</v>
      </c>
    </row>
    <row r="931" spans="1:5">
      <c r="A931" s="55" t="s">
        <v>1701</v>
      </c>
      <c r="B931" s="38">
        <v>3.0409999999999999</v>
      </c>
      <c r="C931" s="38">
        <v>3.2330000000000001</v>
      </c>
      <c r="D931" s="38">
        <v>3.34</v>
      </c>
      <c r="E931" s="38">
        <v>3.581</v>
      </c>
    </row>
    <row r="932" spans="1:5">
      <c r="A932" s="55" t="s">
        <v>1702</v>
      </c>
      <c r="B932" s="38">
        <v>3.18</v>
      </c>
      <c r="C932" s="38">
        <v>3.3809999999999998</v>
      </c>
      <c r="D932" s="38">
        <v>3.4729999999999999</v>
      </c>
      <c r="E932" s="38">
        <v>3.6720000000000002</v>
      </c>
    </row>
    <row r="933" spans="1:5">
      <c r="A933" s="55" t="s">
        <v>1703</v>
      </c>
      <c r="B933" s="38">
        <v>3.0910000000000002</v>
      </c>
      <c r="C933" s="38">
        <v>3.2869999999999999</v>
      </c>
      <c r="D933" s="38">
        <v>3.3860000000000001</v>
      </c>
      <c r="E933" s="38">
        <v>3.61</v>
      </c>
    </row>
    <row r="934" spans="1:5">
      <c r="A934" s="55" t="s">
        <v>1704</v>
      </c>
      <c r="B934" s="38">
        <v>3.0619999999999998</v>
      </c>
      <c r="C934" s="38">
        <v>3.2509999999999999</v>
      </c>
      <c r="D934" s="38">
        <v>3.3450000000000002</v>
      </c>
      <c r="E934" s="38">
        <v>3.605</v>
      </c>
    </row>
    <row r="935" spans="1:5">
      <c r="A935" s="55" t="s">
        <v>1705</v>
      </c>
      <c r="B935" s="38">
        <v>3.1349999999999998</v>
      </c>
      <c r="C935" s="38">
        <v>3.3279999999999998</v>
      </c>
      <c r="D935" s="38">
        <v>3.4260000000000002</v>
      </c>
      <c r="E935" s="38">
        <v>3.6890000000000001</v>
      </c>
    </row>
    <row r="936" spans="1:5">
      <c r="A936" s="55" t="s">
        <v>1706</v>
      </c>
      <c r="B936" s="38">
        <v>3.1080000000000001</v>
      </c>
      <c r="C936" s="38">
        <v>3.298</v>
      </c>
      <c r="D936" s="38">
        <v>3.3940000000000001</v>
      </c>
      <c r="E936" s="38">
        <v>3.66</v>
      </c>
    </row>
    <row r="937" spans="1:5">
      <c r="A937" s="55" t="s">
        <v>1707</v>
      </c>
      <c r="B937" s="38">
        <v>3.1030000000000002</v>
      </c>
      <c r="C937" s="38">
        <v>3.2869999999999999</v>
      </c>
      <c r="D937" s="38">
        <v>3.3860000000000001</v>
      </c>
      <c r="E937" s="38">
        <v>3.6539999999999999</v>
      </c>
    </row>
    <row r="938" spans="1:5">
      <c r="A938" s="55" t="s">
        <v>1708</v>
      </c>
      <c r="B938" s="38">
        <v>3.0960000000000001</v>
      </c>
      <c r="C938" s="38">
        <v>3.2770000000000001</v>
      </c>
      <c r="D938" s="38">
        <v>3.379</v>
      </c>
      <c r="E938" s="38">
        <v>3.6539999999999999</v>
      </c>
    </row>
    <row r="939" spans="1:5">
      <c r="A939" s="55" t="s">
        <v>1709</v>
      </c>
      <c r="B939" s="38">
        <v>3.1339999999999999</v>
      </c>
      <c r="C939" s="38">
        <v>3.3090000000000002</v>
      </c>
      <c r="D939" s="38">
        <v>3.42</v>
      </c>
      <c r="E939" s="38">
        <v>3.71</v>
      </c>
    </row>
    <row r="940" spans="1:5">
      <c r="A940" s="55" t="s">
        <v>1710</v>
      </c>
      <c r="B940" s="38">
        <v>2.988</v>
      </c>
      <c r="C940" s="38">
        <v>3.1360000000000001</v>
      </c>
      <c r="D940" s="38">
        <v>3.2549999999999999</v>
      </c>
      <c r="E940" s="38">
        <v>3.573</v>
      </c>
    </row>
    <row r="941" spans="1:5">
      <c r="A941" s="55" t="s">
        <v>1711</v>
      </c>
      <c r="B941" s="38">
        <v>3.0129999999999999</v>
      </c>
      <c r="C941" s="38">
        <v>3.1560000000000001</v>
      </c>
      <c r="D941" s="38">
        <v>3.2730000000000001</v>
      </c>
      <c r="E941" s="38">
        <v>3.5680000000000001</v>
      </c>
    </row>
    <row r="942" spans="1:5">
      <c r="A942" s="55" t="s">
        <v>1712</v>
      </c>
      <c r="B942" s="38">
        <v>3.0840000000000001</v>
      </c>
      <c r="C942" s="38">
        <v>3.2320000000000002</v>
      </c>
      <c r="D942" s="38">
        <v>3.3460000000000001</v>
      </c>
      <c r="E942" s="38">
        <v>3.64</v>
      </c>
    </row>
    <row r="943" spans="1:5">
      <c r="A943" s="55" t="s">
        <v>1713</v>
      </c>
      <c r="B943" s="38">
        <v>3.0350000000000001</v>
      </c>
      <c r="C943" s="38">
        <v>3.1869999999999998</v>
      </c>
      <c r="D943" s="38">
        <v>3.294</v>
      </c>
      <c r="E943" s="38">
        <v>3.5779999999999998</v>
      </c>
    </row>
    <row r="944" spans="1:5">
      <c r="A944" s="55" t="s">
        <v>1714</v>
      </c>
      <c r="B944" s="38">
        <v>3.1339999999999999</v>
      </c>
      <c r="C944" s="38">
        <v>3.2850000000000001</v>
      </c>
      <c r="D944" s="38">
        <v>3.383</v>
      </c>
      <c r="E944" s="38">
        <v>3.6459999999999999</v>
      </c>
    </row>
    <row r="945" spans="1:5">
      <c r="A945" s="55" t="s">
        <v>1715</v>
      </c>
      <c r="B945" s="38">
        <v>3.2149999999999999</v>
      </c>
      <c r="C945" s="38">
        <v>3.3639999999999999</v>
      </c>
      <c r="D945" s="38">
        <v>3.4540000000000002</v>
      </c>
      <c r="E945" s="38">
        <v>3.6920000000000002</v>
      </c>
    </row>
    <row r="946" spans="1:5">
      <c r="A946" s="55" t="s">
        <v>1716</v>
      </c>
      <c r="B946" s="38">
        <v>3.2949999999999999</v>
      </c>
      <c r="C946" s="38">
        <v>3.4460000000000002</v>
      </c>
      <c r="D946" s="38">
        <v>3.5249999999999999</v>
      </c>
      <c r="E946" s="38">
        <v>3.7290000000000001</v>
      </c>
    </row>
    <row r="947" spans="1:5">
      <c r="A947" s="55" t="s">
        <v>1717</v>
      </c>
      <c r="B947" s="38">
        <v>3.2570000000000001</v>
      </c>
      <c r="C947" s="38">
        <v>3.4049999999999998</v>
      </c>
      <c r="D947" s="38">
        <v>3.4780000000000002</v>
      </c>
      <c r="E947" s="38">
        <v>3.6850000000000001</v>
      </c>
    </row>
    <row r="948" spans="1:5">
      <c r="A948" s="55" t="s">
        <v>1718</v>
      </c>
      <c r="B948" s="38">
        <v>3.218</v>
      </c>
      <c r="C948" s="38">
        <v>3.363</v>
      </c>
      <c r="D948" s="38">
        <v>3.4449999999999998</v>
      </c>
      <c r="E948" s="38">
        <v>3.6419999999999999</v>
      </c>
    </row>
    <row r="949" spans="1:5">
      <c r="A949" s="55" t="s">
        <v>1719</v>
      </c>
      <c r="B949" s="38">
        <v>3.218</v>
      </c>
      <c r="C949" s="38">
        <v>3.3620000000000001</v>
      </c>
      <c r="D949" s="38">
        <v>3.452</v>
      </c>
      <c r="E949" s="38">
        <v>3.677</v>
      </c>
    </row>
    <row r="950" spans="1:5">
      <c r="A950" s="55" t="s">
        <v>1720</v>
      </c>
      <c r="B950" s="38">
        <v>3.4769999999999999</v>
      </c>
      <c r="C950" s="38">
        <v>3.629</v>
      </c>
      <c r="D950" s="38">
        <v>3.7160000000000002</v>
      </c>
      <c r="E950" s="38">
        <v>3.919</v>
      </c>
    </row>
    <row r="951" spans="1:5">
      <c r="A951" s="55" t="s">
        <v>1721</v>
      </c>
      <c r="B951" s="38">
        <v>3.6139999999999999</v>
      </c>
      <c r="C951" s="38">
        <v>3.7639999999999998</v>
      </c>
      <c r="D951" s="38">
        <v>3.839</v>
      </c>
      <c r="E951" s="38">
        <v>3.9929999999999999</v>
      </c>
    </row>
    <row r="952" spans="1:5">
      <c r="A952" s="55" t="s">
        <v>1722</v>
      </c>
      <c r="B952" s="38">
        <v>3.5750000000000002</v>
      </c>
      <c r="C952" s="38">
        <v>3.7250000000000001</v>
      </c>
      <c r="D952" s="38">
        <v>3.8290000000000002</v>
      </c>
      <c r="E952" s="38">
        <v>4.032</v>
      </c>
    </row>
    <row r="953" spans="1:5">
      <c r="A953" s="55" t="s">
        <v>1723</v>
      </c>
      <c r="B953" s="38">
        <v>3.5720000000000001</v>
      </c>
      <c r="C953" s="38">
        <v>3.7320000000000002</v>
      </c>
      <c r="D953" s="38">
        <v>3.8580000000000001</v>
      </c>
      <c r="E953" s="38">
        <v>4.1020000000000003</v>
      </c>
    </row>
    <row r="954" spans="1:5">
      <c r="A954" s="55" t="s">
        <v>1724</v>
      </c>
      <c r="B954" s="38">
        <v>3.484</v>
      </c>
      <c r="C954" s="38">
        <v>3.6389999999999998</v>
      </c>
      <c r="D954" s="38">
        <v>3.7429999999999999</v>
      </c>
      <c r="E954" s="38">
        <v>3.9460000000000002</v>
      </c>
    </row>
    <row r="955" spans="1:5">
      <c r="A955" s="55" t="s">
        <v>1725</v>
      </c>
      <c r="B955" s="38">
        <v>3.4220000000000002</v>
      </c>
      <c r="C955" s="38">
        <v>3.573</v>
      </c>
      <c r="D955" s="38">
        <v>3.6859999999999999</v>
      </c>
      <c r="E955" s="38">
        <v>3.8919999999999999</v>
      </c>
    </row>
    <row r="956" spans="1:5">
      <c r="A956" s="55" t="s">
        <v>1726</v>
      </c>
      <c r="B956" s="38">
        <v>3.1139999999999999</v>
      </c>
      <c r="C956" s="38">
        <v>3.2589999999999999</v>
      </c>
      <c r="D956" s="38">
        <v>3.4180000000000001</v>
      </c>
      <c r="E956" s="38">
        <v>3.726</v>
      </c>
    </row>
    <row r="957" spans="1:5">
      <c r="A957" s="55" t="s">
        <v>1727</v>
      </c>
      <c r="B957" s="38">
        <v>3.0640000000000001</v>
      </c>
      <c r="C957" s="38">
        <v>3.222</v>
      </c>
      <c r="D957" s="38">
        <v>3.367</v>
      </c>
      <c r="E957" s="38">
        <v>3.6309999999999998</v>
      </c>
    </row>
    <row r="958" spans="1:5">
      <c r="A958" s="55" t="s">
        <v>1728</v>
      </c>
      <c r="B958" s="38">
        <v>3.18</v>
      </c>
      <c r="C958" s="38">
        <v>3.343</v>
      </c>
      <c r="D958" s="38">
        <v>3.4910000000000001</v>
      </c>
      <c r="E958" s="38">
        <v>3.7690000000000001</v>
      </c>
    </row>
    <row r="959" spans="1:5">
      <c r="A959" s="55" t="s">
        <v>1729</v>
      </c>
      <c r="B959" s="38">
        <v>3.2280000000000002</v>
      </c>
      <c r="C959" s="38">
        <v>3.407</v>
      </c>
      <c r="D959" s="38">
        <v>3.56</v>
      </c>
      <c r="E959" s="38">
        <v>3.8439999999999999</v>
      </c>
    </row>
    <row r="960" spans="1:5">
      <c r="A960" s="55" t="s">
        <v>1730</v>
      </c>
      <c r="B960" s="38">
        <v>3.2280000000000002</v>
      </c>
      <c r="C960" s="38">
        <v>3.4119999999999999</v>
      </c>
      <c r="D960" s="38">
        <v>3.5680000000000001</v>
      </c>
      <c r="E960" s="38">
        <v>3.863</v>
      </c>
    </row>
    <row r="961" spans="1:5">
      <c r="A961" s="55" t="s">
        <v>1731</v>
      </c>
      <c r="B961" s="38">
        <v>3.3370000000000002</v>
      </c>
      <c r="C961" s="38">
        <v>3.524</v>
      </c>
      <c r="D961" s="38">
        <v>3.698</v>
      </c>
      <c r="E961" s="38">
        <v>4.032</v>
      </c>
    </row>
    <row r="962" spans="1:5">
      <c r="A962" s="55" t="s">
        <v>1732</v>
      </c>
      <c r="B962" s="38">
        <v>3.2650000000000001</v>
      </c>
      <c r="C962" s="38">
        <v>3.4510000000000001</v>
      </c>
      <c r="D962" s="38">
        <v>3.621</v>
      </c>
      <c r="E962" s="38">
        <v>3.9430000000000001</v>
      </c>
    </row>
    <row r="963" spans="1:5">
      <c r="A963" s="55" t="s">
        <v>1733</v>
      </c>
      <c r="B963" s="38">
        <v>3.258</v>
      </c>
      <c r="C963" s="38">
        <v>3.4430000000000001</v>
      </c>
      <c r="D963" s="38">
        <v>3.6280000000000001</v>
      </c>
      <c r="E963" s="38">
        <v>3.9990000000000001</v>
      </c>
    </row>
    <row r="964" spans="1:5">
      <c r="A964" s="55" t="s">
        <v>1734</v>
      </c>
      <c r="B964" s="38">
        <v>3.3490000000000002</v>
      </c>
      <c r="C964" s="38">
        <v>3.53</v>
      </c>
      <c r="D964" s="38">
        <v>3.6869999999999998</v>
      </c>
      <c r="E964" s="38">
        <v>4.0030000000000001</v>
      </c>
    </row>
    <row r="965" spans="1:5">
      <c r="A965" s="55" t="s">
        <v>1735</v>
      </c>
      <c r="B965" s="38">
        <v>3.351</v>
      </c>
      <c r="C965" s="38">
        <v>3.5259999999999998</v>
      </c>
      <c r="D965" s="38">
        <v>3.6930000000000001</v>
      </c>
      <c r="E965" s="38">
        <v>4.0179999999999998</v>
      </c>
    </row>
    <row r="966" spans="1:5">
      <c r="A966" s="55" t="s">
        <v>1736</v>
      </c>
      <c r="B966" s="38">
        <v>3.294</v>
      </c>
      <c r="C966" s="38">
        <v>3.4470000000000001</v>
      </c>
      <c r="D966" s="38">
        <v>3.6030000000000002</v>
      </c>
      <c r="E966" s="38">
        <v>3.915</v>
      </c>
    </row>
    <row r="967" spans="1:5">
      <c r="A967" s="55" t="s">
        <v>1737</v>
      </c>
      <c r="B967" s="38">
        <v>3.3660000000000001</v>
      </c>
      <c r="C967" s="38">
        <v>3.5019999999999998</v>
      </c>
      <c r="D967" s="38">
        <v>3.653</v>
      </c>
      <c r="E967" s="38">
        <v>3.9409999999999998</v>
      </c>
    </row>
    <row r="968" spans="1:5">
      <c r="A968" s="55" t="s">
        <v>1738</v>
      </c>
      <c r="B968" s="38">
        <v>3.488</v>
      </c>
      <c r="C968" s="38">
        <v>3.6179999999999999</v>
      </c>
      <c r="D968" s="38">
        <v>3.7730000000000001</v>
      </c>
      <c r="E968" s="38">
        <v>4.0549999999999997</v>
      </c>
    </row>
    <row r="969" spans="1:5">
      <c r="A969" s="55" t="s">
        <v>1739</v>
      </c>
      <c r="B969" s="38">
        <v>3.617</v>
      </c>
      <c r="C969" s="38">
        <v>3.7440000000000002</v>
      </c>
      <c r="D969" s="38">
        <v>3.907</v>
      </c>
      <c r="E969" s="38">
        <v>4.1950000000000003</v>
      </c>
    </row>
    <row r="970" spans="1:5">
      <c r="A970" s="55" t="s">
        <v>1740</v>
      </c>
      <c r="B970" s="38">
        <v>3.488</v>
      </c>
      <c r="C970" s="38">
        <v>3.6</v>
      </c>
      <c r="D970" s="38">
        <v>3.7919999999999998</v>
      </c>
      <c r="E970" s="38">
        <v>4.1459999999999999</v>
      </c>
    </row>
    <row r="971" spans="1:5">
      <c r="A971" s="55" t="s">
        <v>1741</v>
      </c>
      <c r="B971" s="38">
        <v>3.4420000000000002</v>
      </c>
      <c r="C971" s="38">
        <v>3.5489999999999999</v>
      </c>
      <c r="D971" s="38">
        <v>3.7330000000000001</v>
      </c>
      <c r="E971" s="38">
        <v>4.0720000000000001</v>
      </c>
    </row>
    <row r="972" spans="1:5">
      <c r="A972" s="55" t="s">
        <v>1742</v>
      </c>
      <c r="B972" s="38">
        <v>3.3650000000000002</v>
      </c>
      <c r="C972" s="38">
        <v>3.4660000000000002</v>
      </c>
      <c r="D972" s="38">
        <v>3.621</v>
      </c>
      <c r="E972" s="38">
        <v>3.915</v>
      </c>
    </row>
    <row r="973" spans="1:5">
      <c r="A973" s="55" t="s">
        <v>1743</v>
      </c>
      <c r="B973" s="38">
        <v>3.2839999999999998</v>
      </c>
      <c r="C973" s="38">
        <v>3.3660000000000001</v>
      </c>
      <c r="D973" s="38">
        <v>3.52</v>
      </c>
      <c r="E973" s="38">
        <v>3.827</v>
      </c>
    </row>
    <row r="974" spans="1:5">
      <c r="A974" s="55" t="s">
        <v>1744</v>
      </c>
      <c r="B974" s="38">
        <v>3.198</v>
      </c>
      <c r="C974" s="38">
        <v>3.274</v>
      </c>
      <c r="D974" s="38">
        <v>3.427</v>
      </c>
      <c r="E974" s="38">
        <v>3.7309999999999999</v>
      </c>
    </row>
    <row r="975" spans="1:5">
      <c r="A975" s="55" t="s">
        <v>1745</v>
      </c>
      <c r="B975" s="38">
        <v>3.22</v>
      </c>
      <c r="C975" s="38">
        <v>3.2850000000000001</v>
      </c>
      <c r="D975" s="38">
        <v>3.4409999999999998</v>
      </c>
      <c r="E975" s="38">
        <v>3.7509999999999999</v>
      </c>
    </row>
    <row r="976" spans="1:5">
      <c r="A976" s="55" t="s">
        <v>1746</v>
      </c>
      <c r="B976" s="38">
        <v>3.1829999999999998</v>
      </c>
      <c r="C976" s="38">
        <v>3.2480000000000002</v>
      </c>
      <c r="D976" s="38">
        <v>3.4129999999999998</v>
      </c>
      <c r="E976" s="38">
        <v>3.76</v>
      </c>
    </row>
    <row r="977" spans="1:5">
      <c r="A977" s="55" t="s">
        <v>1747</v>
      </c>
      <c r="B977" s="38">
        <v>3.2650000000000001</v>
      </c>
      <c r="C977" s="38">
        <v>3.34</v>
      </c>
      <c r="D977" s="38">
        <v>3.5</v>
      </c>
      <c r="E977" s="38">
        <v>3.806</v>
      </c>
    </row>
    <row r="978" spans="1:5">
      <c r="A978" s="55" t="s">
        <v>1748</v>
      </c>
      <c r="B978" s="38">
        <v>3.37</v>
      </c>
      <c r="C978" s="38">
        <v>3.456</v>
      </c>
      <c r="D978" s="38">
        <v>3.6120000000000001</v>
      </c>
      <c r="E978" s="38">
        <v>3.9159999999999999</v>
      </c>
    </row>
    <row r="979" spans="1:5">
      <c r="A979" s="55" t="s">
        <v>1749</v>
      </c>
      <c r="B979" s="38">
        <v>3.2610000000000001</v>
      </c>
      <c r="C979" s="38">
        <v>3.3439999999999999</v>
      </c>
      <c r="D979" s="38">
        <v>3.512</v>
      </c>
      <c r="E979" s="38">
        <v>3.8460000000000001</v>
      </c>
    </row>
    <row r="980" spans="1:5">
      <c r="A980" s="55" t="s">
        <v>1750</v>
      </c>
      <c r="B980" s="38">
        <v>3.2709999999999999</v>
      </c>
      <c r="C980" s="38">
        <v>3.363</v>
      </c>
      <c r="D980" s="38">
        <v>3.548</v>
      </c>
      <c r="E980" s="38">
        <v>3.903</v>
      </c>
    </row>
    <row r="981" spans="1:5">
      <c r="A981" s="55" t="s">
        <v>1751</v>
      </c>
      <c r="B981" s="38">
        <v>3.3980000000000001</v>
      </c>
      <c r="C981" s="38">
        <v>3.5019999999999998</v>
      </c>
      <c r="D981" s="38">
        <v>3.6920000000000002</v>
      </c>
      <c r="E981" s="38">
        <v>4.0330000000000004</v>
      </c>
    </row>
    <row r="982" spans="1:5">
      <c r="A982" s="55" t="s">
        <v>1752</v>
      </c>
      <c r="B982" s="38">
        <v>3.298</v>
      </c>
      <c r="C982" s="38">
        <v>3.3959999999999999</v>
      </c>
      <c r="D982" s="38">
        <v>3.5680000000000001</v>
      </c>
      <c r="E982" s="38">
        <v>3.863</v>
      </c>
    </row>
    <row r="983" spans="1:5">
      <c r="A983" s="55" t="s">
        <v>1753</v>
      </c>
      <c r="B983" s="38">
        <v>3.1579999999999999</v>
      </c>
      <c r="C983" s="38">
        <v>3.25</v>
      </c>
      <c r="D983" s="38">
        <v>3.4209999999999998</v>
      </c>
      <c r="E983" s="38">
        <v>3.7160000000000002</v>
      </c>
    </row>
    <row r="984" spans="1:5">
      <c r="A984" s="55" t="s">
        <v>1754</v>
      </c>
      <c r="B984" s="38">
        <v>3.08</v>
      </c>
      <c r="C984" s="38">
        <v>3.1619999999999999</v>
      </c>
      <c r="D984" s="38">
        <v>3.3330000000000002</v>
      </c>
      <c r="E984" s="38">
        <v>3.6539999999999999</v>
      </c>
    </row>
    <row r="985" spans="1:5">
      <c r="A985" s="55" t="s">
        <v>1755</v>
      </c>
      <c r="B985" s="38">
        <v>3.1709999999999998</v>
      </c>
      <c r="C985" s="38">
        <v>3.2589999999999999</v>
      </c>
      <c r="D985" s="38">
        <v>3.4329999999999998</v>
      </c>
      <c r="E985" s="38">
        <v>3.7629999999999999</v>
      </c>
    </row>
    <row r="986" spans="1:5">
      <c r="A986" s="55" t="s">
        <v>1756</v>
      </c>
      <c r="B986" s="38">
        <v>3.19</v>
      </c>
      <c r="C986" s="38">
        <v>3.2810000000000001</v>
      </c>
      <c r="D986" s="38">
        <v>3.45</v>
      </c>
      <c r="E986" s="38">
        <v>3.7570000000000001</v>
      </c>
    </row>
    <row r="987" spans="1:5">
      <c r="A987" s="55" t="s">
        <v>1757</v>
      </c>
      <c r="B987" s="38">
        <v>3.1619999999999999</v>
      </c>
      <c r="C987" s="38">
        <v>3.2480000000000002</v>
      </c>
      <c r="D987" s="38">
        <v>3.415</v>
      </c>
      <c r="E987" s="38">
        <v>3.7229999999999999</v>
      </c>
    </row>
    <row r="988" spans="1:5">
      <c r="A988" s="55" t="s">
        <v>1758</v>
      </c>
      <c r="B988" s="38">
        <v>3.1019999999999999</v>
      </c>
      <c r="C988" s="38">
        <v>3.1829999999999998</v>
      </c>
      <c r="D988" s="38">
        <v>3.339</v>
      </c>
      <c r="E988" s="38">
        <v>3.6150000000000002</v>
      </c>
    </row>
    <row r="989" spans="1:5">
      <c r="A989" s="55" t="s">
        <v>1759</v>
      </c>
      <c r="B989" s="38">
        <v>3.1179999999999999</v>
      </c>
      <c r="C989" s="38">
        <v>3.2040000000000002</v>
      </c>
      <c r="D989" s="38">
        <v>3.35</v>
      </c>
      <c r="E989" s="38">
        <v>3.61</v>
      </c>
    </row>
    <row r="990" spans="1:5">
      <c r="A990" s="55" t="s">
        <v>1760</v>
      </c>
      <c r="B990" s="38">
        <v>3.1040000000000001</v>
      </c>
      <c r="C990" s="38">
        <v>3.1960000000000002</v>
      </c>
      <c r="D990" s="38">
        <v>3.3380000000000001</v>
      </c>
      <c r="E990" s="38">
        <v>3.56</v>
      </c>
    </row>
    <row r="991" spans="1:5">
      <c r="A991" s="55" t="s">
        <v>1761</v>
      </c>
      <c r="B991" s="38">
        <v>3.1320000000000001</v>
      </c>
      <c r="C991" s="38">
        <v>3.2269999999999999</v>
      </c>
      <c r="D991" s="38">
        <v>3.3519999999999999</v>
      </c>
      <c r="E991" s="38">
        <v>3.5670000000000002</v>
      </c>
    </row>
    <row r="992" spans="1:5">
      <c r="A992" s="55" t="s">
        <v>1762</v>
      </c>
      <c r="B992" s="38">
        <v>3.1949999999999998</v>
      </c>
      <c r="C992" s="38">
        <v>3.2730000000000001</v>
      </c>
      <c r="D992" s="38">
        <v>3.371</v>
      </c>
      <c r="E992" s="38">
        <v>3.5659999999999998</v>
      </c>
    </row>
    <row r="993" spans="1:5">
      <c r="A993" s="55" t="s">
        <v>1763</v>
      </c>
      <c r="B993" s="38">
        <v>3.169</v>
      </c>
      <c r="C993" s="38">
        <v>3.2450000000000001</v>
      </c>
      <c r="D993" s="38">
        <v>3.3340000000000001</v>
      </c>
      <c r="E993" s="38">
        <v>3.5219999999999998</v>
      </c>
    </row>
    <row r="994" spans="1:5">
      <c r="A994" s="55" t="s">
        <v>1764</v>
      </c>
      <c r="B994" s="38">
        <v>3.2040000000000002</v>
      </c>
      <c r="C994" s="38">
        <v>3.2650000000000001</v>
      </c>
      <c r="D994" s="38">
        <v>3.3650000000000002</v>
      </c>
      <c r="E994" s="38">
        <v>3.552</v>
      </c>
    </row>
    <row r="995" spans="1:5">
      <c r="A995" s="55" t="s">
        <v>1765</v>
      </c>
      <c r="B995" s="38">
        <v>3.137</v>
      </c>
      <c r="C995" s="38">
        <v>3.1960000000000002</v>
      </c>
      <c r="D995" s="38">
        <v>3.298</v>
      </c>
      <c r="E995" s="38">
        <v>3.492</v>
      </c>
    </row>
    <row r="996" spans="1:5">
      <c r="A996" s="55" t="s">
        <v>1766</v>
      </c>
      <c r="B996" s="38">
        <v>3.1749999999999998</v>
      </c>
      <c r="C996" s="38">
        <v>3.2309999999999999</v>
      </c>
      <c r="D996" s="38">
        <v>3.36</v>
      </c>
      <c r="E996" s="38">
        <v>3.5819999999999999</v>
      </c>
    </row>
    <row r="997" spans="1:5">
      <c r="A997" s="55" t="s">
        <v>1767</v>
      </c>
      <c r="B997" s="38">
        <v>3.1070000000000002</v>
      </c>
      <c r="C997" s="38">
        <v>3.161</v>
      </c>
      <c r="D997" s="38">
        <v>3.266</v>
      </c>
      <c r="E997" s="38">
        <v>3.508</v>
      </c>
    </row>
    <row r="998" spans="1:5">
      <c r="A998" s="55" t="s">
        <v>1768</v>
      </c>
      <c r="B998" s="38">
        <v>3.024</v>
      </c>
      <c r="C998" s="38">
        <v>3.0840000000000001</v>
      </c>
      <c r="D998" s="38">
        <v>3.2120000000000002</v>
      </c>
      <c r="E998" s="38">
        <v>3.4590000000000001</v>
      </c>
    </row>
    <row r="999" spans="1:5">
      <c r="A999" s="55" t="s">
        <v>1769</v>
      </c>
      <c r="B999" s="38">
        <v>2.96</v>
      </c>
      <c r="C999" s="38">
        <v>3.02</v>
      </c>
      <c r="D999" s="38">
        <v>3.1309999999999998</v>
      </c>
      <c r="E999" s="38">
        <v>3.37</v>
      </c>
    </row>
    <row r="1000" spans="1:5">
      <c r="A1000" s="55" t="s">
        <v>1770</v>
      </c>
      <c r="B1000" s="38">
        <v>2.956</v>
      </c>
      <c r="C1000" s="38">
        <v>3.0089999999999999</v>
      </c>
      <c r="D1000" s="38">
        <v>3.1190000000000002</v>
      </c>
      <c r="E1000" s="38">
        <v>3.3450000000000002</v>
      </c>
    </row>
    <row r="1001" spans="1:5">
      <c r="A1001" s="55" t="s">
        <v>1771</v>
      </c>
      <c r="B1001" s="38">
        <v>3.0129999999999999</v>
      </c>
      <c r="C1001" s="38">
        <v>3.0880000000000001</v>
      </c>
      <c r="D1001" s="38">
        <v>3.1789999999999998</v>
      </c>
      <c r="E1001" s="38">
        <v>3.3769999999999998</v>
      </c>
    </row>
    <row r="1002" spans="1:5">
      <c r="A1002" s="55" t="s">
        <v>1772</v>
      </c>
      <c r="B1002" s="38">
        <v>2.9980000000000002</v>
      </c>
      <c r="C1002" s="38">
        <v>3.07</v>
      </c>
      <c r="D1002" s="38">
        <v>3.1589999999999998</v>
      </c>
      <c r="E1002" s="38">
        <v>3.3359999999999999</v>
      </c>
    </row>
    <row r="1003" spans="1:5">
      <c r="A1003" s="55" t="s">
        <v>1773</v>
      </c>
      <c r="B1003" s="38">
        <v>2.9820000000000002</v>
      </c>
      <c r="C1003" s="38">
        <v>3.0630000000000002</v>
      </c>
      <c r="D1003" s="38">
        <v>3.1549999999999998</v>
      </c>
      <c r="E1003" s="38">
        <v>3.3460000000000001</v>
      </c>
    </row>
    <row r="1004" spans="1:5">
      <c r="A1004" s="55" t="s">
        <v>1774</v>
      </c>
      <c r="B1004" s="38">
        <v>2.9350000000000001</v>
      </c>
      <c r="C1004" s="38">
        <v>3.0230000000000001</v>
      </c>
      <c r="D1004" s="38">
        <v>3.1139999999999999</v>
      </c>
      <c r="E1004" s="38">
        <v>3.2759999999999998</v>
      </c>
    </row>
    <row r="1005" spans="1:5">
      <c r="A1005" s="55" t="s">
        <v>1775</v>
      </c>
      <c r="B1005" s="38">
        <v>2.9710000000000001</v>
      </c>
      <c r="C1005" s="38">
        <v>3.0720000000000001</v>
      </c>
      <c r="D1005" s="38">
        <v>3.1749999999999998</v>
      </c>
      <c r="E1005" s="38">
        <v>3.3620000000000001</v>
      </c>
    </row>
    <row r="1006" spans="1:5">
      <c r="A1006" s="55" t="s">
        <v>1776</v>
      </c>
      <c r="B1006" s="38">
        <v>3.0110000000000001</v>
      </c>
      <c r="C1006" s="38">
        <v>3.1269999999999998</v>
      </c>
      <c r="D1006" s="38">
        <v>3.2160000000000002</v>
      </c>
      <c r="E1006" s="38">
        <v>3.3820000000000001</v>
      </c>
    </row>
    <row r="1007" spans="1:5">
      <c r="A1007" s="55" t="s">
        <v>1777</v>
      </c>
      <c r="B1007" s="38">
        <v>2.9630000000000001</v>
      </c>
      <c r="C1007" s="38">
        <v>3.081</v>
      </c>
      <c r="D1007" s="38">
        <v>3.161</v>
      </c>
      <c r="E1007" s="38">
        <v>3.3439999999999999</v>
      </c>
    </row>
    <row r="1008" spans="1:5">
      <c r="A1008" s="55" t="s">
        <v>1778</v>
      </c>
      <c r="B1008" s="38">
        <v>3.0670000000000002</v>
      </c>
      <c r="C1008" s="38">
        <v>3.16</v>
      </c>
      <c r="D1008" s="38">
        <v>3.2440000000000002</v>
      </c>
      <c r="E1008" s="38">
        <v>3.4380000000000002</v>
      </c>
    </row>
    <row r="1009" spans="1:5">
      <c r="A1009" s="55" t="s">
        <v>1779</v>
      </c>
      <c r="B1009" s="38">
        <v>3.0569999999999999</v>
      </c>
      <c r="C1009" s="38">
        <v>3.149</v>
      </c>
      <c r="D1009" s="38">
        <v>3.2250000000000001</v>
      </c>
      <c r="E1009" s="38">
        <v>3.4359999999999999</v>
      </c>
    </row>
    <row r="1010" spans="1:5">
      <c r="A1010" s="55" t="s">
        <v>1780</v>
      </c>
      <c r="B1010" s="38">
        <v>3.11</v>
      </c>
      <c r="C1010" s="38">
        <v>3.1960000000000002</v>
      </c>
      <c r="D1010" s="38">
        <v>3.3069999999999999</v>
      </c>
      <c r="E1010" s="38">
        <v>3.5139999999999998</v>
      </c>
    </row>
    <row r="1011" spans="1:5">
      <c r="A1011" s="55" t="s">
        <v>1781</v>
      </c>
      <c r="B1011" s="38">
        <v>3.2229999999999999</v>
      </c>
      <c r="C1011" s="38">
        <v>3.2989999999999999</v>
      </c>
      <c r="D1011" s="38">
        <v>3.4119999999999999</v>
      </c>
      <c r="E1011" s="38">
        <v>3.7069999999999999</v>
      </c>
    </row>
    <row r="1012" spans="1:5">
      <c r="A1012" s="55" t="s">
        <v>1782</v>
      </c>
      <c r="B1012" s="38">
        <v>3.1480000000000001</v>
      </c>
      <c r="C1012" s="38">
        <v>3.2280000000000002</v>
      </c>
      <c r="D1012" s="38">
        <v>3.3650000000000002</v>
      </c>
      <c r="E1012" s="38">
        <v>3.7040000000000002</v>
      </c>
    </row>
    <row r="1013" spans="1:5">
      <c r="A1013" s="55" t="s">
        <v>1783</v>
      </c>
      <c r="B1013" s="38">
        <v>3.2130000000000001</v>
      </c>
      <c r="C1013" s="38">
        <v>3.28</v>
      </c>
      <c r="D1013" s="38">
        <v>3.4260000000000002</v>
      </c>
      <c r="E1013" s="38">
        <v>3.7749999999999999</v>
      </c>
    </row>
    <row r="1014" spans="1:5">
      <c r="A1014" s="55" t="s">
        <v>1784</v>
      </c>
      <c r="B1014" s="38">
        <v>3.2629999999999999</v>
      </c>
      <c r="C1014" s="38">
        <v>3.3250000000000002</v>
      </c>
      <c r="D1014" s="38">
        <v>3.472</v>
      </c>
      <c r="E1014" s="38">
        <v>3.8050000000000002</v>
      </c>
    </row>
    <row r="1015" spans="1:5">
      <c r="A1015" s="55" t="s">
        <v>1785</v>
      </c>
      <c r="B1015" s="38">
        <v>3.4289999999999998</v>
      </c>
      <c r="C1015" s="38">
        <v>3.4980000000000002</v>
      </c>
      <c r="D1015" s="38">
        <v>3.6970000000000001</v>
      </c>
      <c r="E1015" s="38">
        <v>4.0140000000000002</v>
      </c>
    </row>
    <row r="1016" spans="1:5">
      <c r="A1016" s="55" t="s">
        <v>1786</v>
      </c>
      <c r="B1016" s="38">
        <v>3.4220000000000002</v>
      </c>
      <c r="C1016" s="38">
        <v>3.4929999999999999</v>
      </c>
      <c r="D1016" s="38">
        <v>3.6720000000000002</v>
      </c>
      <c r="E1016" s="38">
        <v>4.0039999999999996</v>
      </c>
    </row>
    <row r="1017" spans="1:5">
      <c r="A1017" s="55" t="s">
        <v>1787</v>
      </c>
      <c r="B1017" s="38">
        <v>3.42</v>
      </c>
      <c r="C1017" s="38">
        <v>3.5019999999999998</v>
      </c>
      <c r="D1017" s="38">
        <v>3.6819999999999999</v>
      </c>
      <c r="E1017" s="38">
        <v>4.0289999999999999</v>
      </c>
    </row>
    <row r="1018" spans="1:5">
      <c r="A1018" s="55" t="s">
        <v>1788</v>
      </c>
      <c r="B1018" s="38">
        <v>3.3969999999999998</v>
      </c>
      <c r="C1018" s="38">
        <v>3.4729999999999999</v>
      </c>
      <c r="D1018" s="38">
        <v>3.661</v>
      </c>
      <c r="E1018" s="38">
        <v>3.98</v>
      </c>
    </row>
    <row r="1019" spans="1:5">
      <c r="A1019" s="55" t="s">
        <v>1789</v>
      </c>
      <c r="B1019" s="38">
        <v>3.3570000000000002</v>
      </c>
      <c r="C1019" s="38">
        <v>3.427</v>
      </c>
      <c r="D1019" s="38">
        <v>3.601</v>
      </c>
      <c r="E1019" s="38">
        <v>3.883</v>
      </c>
    </row>
    <row r="1020" spans="1:5">
      <c r="A1020" s="55" t="s">
        <v>1790</v>
      </c>
      <c r="B1020" s="38">
        <v>3.363</v>
      </c>
      <c r="C1020" s="38">
        <v>3.4180000000000001</v>
      </c>
      <c r="D1020" s="38">
        <v>3.58</v>
      </c>
      <c r="E1020" s="38">
        <v>3.8149999999999999</v>
      </c>
    </row>
    <row r="1021" spans="1:5">
      <c r="A1021" s="55" t="s">
        <v>1791</v>
      </c>
      <c r="B1021" s="38">
        <v>3.3889999999999998</v>
      </c>
      <c r="C1021" s="38">
        <v>3.4380000000000002</v>
      </c>
      <c r="D1021" s="38">
        <v>3.5569999999999999</v>
      </c>
      <c r="E1021" s="38">
        <v>3.7989999999999999</v>
      </c>
    </row>
    <row r="1022" spans="1:5">
      <c r="A1022" s="55" t="s">
        <v>1792</v>
      </c>
      <c r="B1022" s="38">
        <v>3.266</v>
      </c>
      <c r="C1022" s="38">
        <v>3.3039999999999998</v>
      </c>
      <c r="D1022" s="38">
        <v>3.4359999999999999</v>
      </c>
      <c r="E1022" s="38">
        <v>3.702</v>
      </c>
    </row>
    <row r="1023" spans="1:5">
      <c r="A1023" s="55" t="s">
        <v>1793</v>
      </c>
      <c r="B1023" s="38">
        <v>3.2570000000000001</v>
      </c>
      <c r="C1023" s="38">
        <v>3.2949999999999999</v>
      </c>
      <c r="D1023" s="38">
        <v>3.43</v>
      </c>
      <c r="E1023" s="38">
        <v>3.6970000000000001</v>
      </c>
    </row>
    <row r="1024" spans="1:5">
      <c r="A1024" s="55" t="s">
        <v>1794</v>
      </c>
      <c r="B1024" s="38">
        <v>3.2629999999999999</v>
      </c>
      <c r="C1024" s="38">
        <v>3.3079999999999998</v>
      </c>
      <c r="D1024" s="38">
        <v>3.4449999999999998</v>
      </c>
      <c r="E1024" s="38">
        <v>3.698</v>
      </c>
    </row>
    <row r="1025" spans="1:5">
      <c r="A1025" s="55" t="s">
        <v>1795</v>
      </c>
      <c r="B1025" s="38">
        <v>3.1320000000000001</v>
      </c>
      <c r="C1025" s="38">
        <v>3.1840000000000002</v>
      </c>
      <c r="D1025" s="38">
        <v>3.3039999999999998</v>
      </c>
      <c r="E1025" s="38">
        <v>3.5760000000000001</v>
      </c>
    </row>
    <row r="1026" spans="1:5">
      <c r="A1026" s="55" t="s">
        <v>1796</v>
      </c>
      <c r="B1026" s="38">
        <v>3.1280000000000001</v>
      </c>
      <c r="C1026" s="38">
        <v>3.1890000000000001</v>
      </c>
      <c r="D1026" s="38">
        <v>3.3159999999999998</v>
      </c>
      <c r="E1026" s="38">
        <v>3.5739999999999998</v>
      </c>
    </row>
    <row r="1027" spans="1:5">
      <c r="A1027" s="55" t="s">
        <v>1797</v>
      </c>
      <c r="B1027" s="38">
        <v>3.1419999999999999</v>
      </c>
      <c r="C1027" s="38">
        <v>3.19</v>
      </c>
      <c r="D1027" s="38">
        <v>3.3140000000000001</v>
      </c>
      <c r="E1027" s="38">
        <v>3.577</v>
      </c>
    </row>
    <row r="1028" spans="1:5">
      <c r="A1028" s="55" t="s">
        <v>1798</v>
      </c>
      <c r="B1028" s="38">
        <v>3.1339999999999999</v>
      </c>
      <c r="C1028" s="38">
        <v>3.181</v>
      </c>
      <c r="D1028" s="38">
        <v>3.3079999999999998</v>
      </c>
      <c r="E1028" s="38">
        <v>3.5880000000000001</v>
      </c>
    </row>
    <row r="1029" spans="1:5">
      <c r="A1029" s="55" t="s">
        <v>1799</v>
      </c>
      <c r="B1029" s="38">
        <v>3.0830000000000002</v>
      </c>
      <c r="C1029" s="38">
        <v>3.145</v>
      </c>
      <c r="D1029" s="38">
        <v>3.2519999999999998</v>
      </c>
      <c r="E1029" s="38">
        <v>3.5289999999999999</v>
      </c>
    </row>
    <row r="1030" spans="1:5">
      <c r="A1030" s="55" t="s">
        <v>1800</v>
      </c>
      <c r="B1030" s="38">
        <v>2.8929999999999998</v>
      </c>
      <c r="C1030" s="38">
        <v>2.9390000000000001</v>
      </c>
      <c r="D1030" s="38">
        <v>3.032</v>
      </c>
      <c r="E1030" s="38">
        <v>3.306</v>
      </c>
    </row>
    <row r="1031" spans="1:5">
      <c r="A1031" s="55" t="s">
        <v>1801</v>
      </c>
      <c r="B1031" s="38">
        <v>2.93</v>
      </c>
      <c r="C1031" s="38">
        <v>2.9780000000000002</v>
      </c>
      <c r="D1031" s="38">
        <v>3.0710000000000002</v>
      </c>
      <c r="E1031" s="38">
        <v>3.3809999999999998</v>
      </c>
    </row>
    <row r="1032" spans="1:5">
      <c r="A1032" s="55" t="s">
        <v>1802</v>
      </c>
      <c r="B1032" s="38">
        <v>2.97</v>
      </c>
      <c r="C1032" s="38">
        <v>3.0169999999999999</v>
      </c>
      <c r="D1032" s="38">
        <v>3.121</v>
      </c>
      <c r="E1032" s="38">
        <v>3.4340000000000002</v>
      </c>
    </row>
    <row r="1033" spans="1:5">
      <c r="A1033" s="55" t="s">
        <v>1803</v>
      </c>
      <c r="B1033" s="38">
        <v>2.972</v>
      </c>
      <c r="C1033" s="38">
        <v>3.028</v>
      </c>
      <c r="D1033" s="38">
        <v>3.129</v>
      </c>
      <c r="E1033" s="38">
        <v>3.448</v>
      </c>
    </row>
    <row r="1034" spans="1:5">
      <c r="A1034" s="55" t="s">
        <v>1804</v>
      </c>
      <c r="B1034" s="38">
        <v>3.081</v>
      </c>
      <c r="C1034" s="38">
        <v>3.1219999999999999</v>
      </c>
      <c r="D1034" s="38">
        <v>3.206</v>
      </c>
      <c r="E1034" s="38">
        <v>3.49</v>
      </c>
    </row>
    <row r="1035" spans="1:5">
      <c r="A1035" s="55" t="s">
        <v>1805</v>
      </c>
      <c r="B1035" s="38">
        <v>3.145</v>
      </c>
      <c r="C1035" s="38">
        <v>3.19</v>
      </c>
      <c r="D1035" s="38">
        <v>3.2719999999999998</v>
      </c>
      <c r="E1035" s="38">
        <v>3.5430000000000001</v>
      </c>
    </row>
    <row r="1036" spans="1:5">
      <c r="A1036" s="55" t="s">
        <v>1806</v>
      </c>
      <c r="B1036" s="38">
        <v>3.12</v>
      </c>
      <c r="C1036" s="38">
        <v>3.1739999999999999</v>
      </c>
      <c r="D1036" s="38">
        <v>3.27</v>
      </c>
      <c r="E1036" s="38">
        <v>3.52</v>
      </c>
    </row>
    <row r="1037" spans="1:5">
      <c r="A1037" s="55" t="s">
        <v>1807</v>
      </c>
      <c r="B1037" s="38">
        <v>3.105</v>
      </c>
      <c r="C1037" s="38">
        <v>3.1680000000000001</v>
      </c>
      <c r="D1037" s="38">
        <v>3.27</v>
      </c>
      <c r="E1037" s="38">
        <v>3.5350000000000001</v>
      </c>
    </row>
    <row r="1038" spans="1:5">
      <c r="A1038" s="55" t="s">
        <v>1808</v>
      </c>
      <c r="B1038" s="38">
        <v>3.1230000000000002</v>
      </c>
      <c r="C1038" s="38">
        <v>3.1890000000000001</v>
      </c>
      <c r="D1038" s="38">
        <v>3.2839999999999998</v>
      </c>
      <c r="E1038" s="38">
        <v>3.5550000000000002</v>
      </c>
    </row>
    <row r="1039" spans="1:5">
      <c r="A1039" s="55" t="s">
        <v>1809</v>
      </c>
      <c r="B1039" s="38">
        <v>3.07</v>
      </c>
      <c r="C1039" s="38">
        <v>3.1309999999999998</v>
      </c>
      <c r="D1039" s="38">
        <v>3.2120000000000002</v>
      </c>
      <c r="E1039" s="38">
        <v>3.5259999999999998</v>
      </c>
    </row>
    <row r="1040" spans="1:5">
      <c r="A1040" s="55" t="s">
        <v>1810</v>
      </c>
      <c r="B1040" s="38">
        <v>2.944</v>
      </c>
      <c r="C1040" s="38">
        <v>2.9929999999999999</v>
      </c>
      <c r="D1040" s="38">
        <v>3.07</v>
      </c>
      <c r="E1040" s="38">
        <v>3.3679999999999999</v>
      </c>
    </row>
    <row r="1041" spans="1:5">
      <c r="A1041" s="55" t="s">
        <v>1811</v>
      </c>
      <c r="B1041" s="38">
        <v>3.0249999999999999</v>
      </c>
      <c r="C1041" s="38">
        <v>3.0830000000000002</v>
      </c>
      <c r="D1041" s="38">
        <v>3.17</v>
      </c>
      <c r="E1041" s="38">
        <v>3.4460000000000002</v>
      </c>
    </row>
    <row r="1042" spans="1:5">
      <c r="A1042" s="55" t="s">
        <v>1812</v>
      </c>
      <c r="B1042" s="38">
        <v>3.1789999999999998</v>
      </c>
      <c r="C1042" s="38">
        <v>3.238</v>
      </c>
      <c r="D1042" s="38">
        <v>3.3210000000000002</v>
      </c>
      <c r="E1042" s="38">
        <v>3.581</v>
      </c>
    </row>
    <row r="1043" spans="1:5">
      <c r="A1043" s="55" t="s">
        <v>1813</v>
      </c>
      <c r="B1043" s="38">
        <v>3.2040000000000002</v>
      </c>
      <c r="C1043" s="38">
        <v>3.2570000000000001</v>
      </c>
      <c r="D1043" s="38">
        <v>3.3330000000000002</v>
      </c>
      <c r="E1043" s="38">
        <v>3.6</v>
      </c>
    </row>
    <row r="1044" spans="1:5">
      <c r="A1044" s="55" t="s">
        <v>1814</v>
      </c>
      <c r="B1044" s="38">
        <v>3.2730000000000001</v>
      </c>
      <c r="C1044" s="38">
        <v>3.3260000000000001</v>
      </c>
      <c r="D1044" s="38">
        <v>3.395</v>
      </c>
      <c r="E1044" s="38">
        <v>3.657</v>
      </c>
    </row>
    <row r="1045" spans="1:5">
      <c r="A1045" s="55" t="s">
        <v>1815</v>
      </c>
      <c r="B1045" s="38">
        <v>3.3530000000000002</v>
      </c>
      <c r="C1045" s="38">
        <v>3.403</v>
      </c>
      <c r="D1045" s="38">
        <v>3.4660000000000002</v>
      </c>
      <c r="E1045" s="38">
        <v>3.6960000000000002</v>
      </c>
    </row>
    <row r="1046" spans="1:5">
      <c r="A1046" s="55" t="s">
        <v>1816</v>
      </c>
      <c r="B1046" s="38">
        <v>3.4060000000000001</v>
      </c>
      <c r="C1046" s="38">
        <v>3.4529999999999998</v>
      </c>
      <c r="D1046" s="38">
        <v>3.5209999999999999</v>
      </c>
      <c r="E1046" s="38">
        <v>3.7469999999999999</v>
      </c>
    </row>
    <row r="1047" spans="1:5">
      <c r="A1047" s="55" t="s">
        <v>1817</v>
      </c>
      <c r="B1047" s="38">
        <v>3.4020000000000001</v>
      </c>
      <c r="C1047" s="38">
        <v>3.4369999999999998</v>
      </c>
      <c r="D1047" s="38">
        <v>3.5209999999999999</v>
      </c>
      <c r="E1047" s="38">
        <v>3.7269999999999999</v>
      </c>
    </row>
    <row r="1048" spans="1:5">
      <c r="A1048" s="55" t="s">
        <v>1818</v>
      </c>
      <c r="B1048" s="38">
        <v>3.407</v>
      </c>
      <c r="C1048" s="38">
        <v>3.448</v>
      </c>
      <c r="D1048" s="38">
        <v>3.5190000000000001</v>
      </c>
      <c r="E1048" s="38">
        <v>3.726</v>
      </c>
    </row>
    <row r="1049" spans="1:5">
      <c r="A1049" s="55" t="s">
        <v>1819</v>
      </c>
      <c r="B1049" s="38">
        <v>3.4020000000000001</v>
      </c>
      <c r="C1049" s="38">
        <v>3.4289999999999998</v>
      </c>
      <c r="D1049" s="38">
        <v>3.5089999999999999</v>
      </c>
      <c r="E1049" s="38">
        <v>3.7469999999999999</v>
      </c>
    </row>
    <row r="1050" spans="1:5">
      <c r="A1050" s="55" t="s">
        <v>1820</v>
      </c>
      <c r="B1050" s="38">
        <v>3.452</v>
      </c>
      <c r="C1050" s="38">
        <v>3.4790000000000001</v>
      </c>
      <c r="D1050" s="38">
        <v>3.5510000000000002</v>
      </c>
      <c r="E1050" s="38">
        <v>3.8079999999999998</v>
      </c>
    </row>
    <row r="1051" spans="1:5">
      <c r="A1051" s="55" t="s">
        <v>1821</v>
      </c>
      <c r="B1051" s="38">
        <v>3.4929999999999999</v>
      </c>
      <c r="C1051" s="38">
        <v>3.5230000000000001</v>
      </c>
      <c r="D1051" s="38">
        <v>3.5979999999999999</v>
      </c>
      <c r="E1051" s="38">
        <v>3.7989999999999999</v>
      </c>
    </row>
    <row r="1052" spans="1:5">
      <c r="A1052" s="55" t="s">
        <v>1822</v>
      </c>
      <c r="B1052" s="38">
        <v>3.52</v>
      </c>
      <c r="C1052" s="38">
        <v>3.5459999999999998</v>
      </c>
      <c r="D1052" s="38">
        <v>3.6080000000000001</v>
      </c>
      <c r="E1052" s="38">
        <v>3.8039999999999998</v>
      </c>
    </row>
    <row r="1053" spans="1:5">
      <c r="A1053" s="55" t="s">
        <v>1823</v>
      </c>
      <c r="B1053" s="38">
        <v>3.5390000000000001</v>
      </c>
      <c r="C1053" s="38">
        <v>3.5609999999999999</v>
      </c>
      <c r="D1053" s="38">
        <v>3.6269999999999998</v>
      </c>
      <c r="E1053" s="38">
        <v>3.863</v>
      </c>
    </row>
    <row r="1054" spans="1:5">
      <c r="A1054" s="55" t="s">
        <v>1824</v>
      </c>
      <c r="B1054" s="38">
        <v>3.56</v>
      </c>
      <c r="C1054" s="38">
        <v>3.585</v>
      </c>
      <c r="D1054" s="38">
        <v>3.649</v>
      </c>
      <c r="E1054" s="38">
        <v>3.875</v>
      </c>
    </row>
    <row r="1055" spans="1:5">
      <c r="A1055" s="55" t="s">
        <v>1825</v>
      </c>
      <c r="B1055" s="38">
        <v>3.5339999999999998</v>
      </c>
      <c r="C1055" s="38">
        <v>3.5539999999999998</v>
      </c>
      <c r="D1055" s="38">
        <v>3.6120000000000001</v>
      </c>
      <c r="E1055" s="38">
        <v>3.8149999999999999</v>
      </c>
    </row>
    <row r="1056" spans="1:5">
      <c r="A1056" s="55" t="s">
        <v>1826</v>
      </c>
      <c r="B1056" s="38">
        <v>3.6019999999999999</v>
      </c>
      <c r="C1056" s="38">
        <v>3.625</v>
      </c>
      <c r="D1056" s="38">
        <v>3.6819999999999999</v>
      </c>
      <c r="E1056" s="38">
        <v>3.8650000000000002</v>
      </c>
    </row>
    <row r="1057" spans="1:5">
      <c r="A1057" s="55" t="s">
        <v>1827</v>
      </c>
      <c r="B1057" s="38">
        <v>3.5579999999999998</v>
      </c>
      <c r="C1057" s="38">
        <v>3.59</v>
      </c>
      <c r="D1057" s="38">
        <v>3.66</v>
      </c>
      <c r="E1057" s="38">
        <v>3.8410000000000002</v>
      </c>
    </row>
    <row r="1058" spans="1:5">
      <c r="A1058" s="55" t="s">
        <v>1828</v>
      </c>
      <c r="B1058" s="38">
        <v>3.4689999999999999</v>
      </c>
      <c r="C1058" s="38">
        <v>3.5</v>
      </c>
      <c r="D1058" s="38">
        <v>3.5680000000000001</v>
      </c>
      <c r="E1058" s="38">
        <v>3.7770000000000001</v>
      </c>
    </row>
    <row r="1059" spans="1:5">
      <c r="A1059" s="55" t="s">
        <v>1829</v>
      </c>
      <c r="B1059" s="38">
        <v>3.528</v>
      </c>
      <c r="C1059" s="38">
        <v>3.5590000000000002</v>
      </c>
      <c r="D1059" s="38">
        <v>3.609</v>
      </c>
      <c r="E1059" s="38">
        <v>3.8519999999999999</v>
      </c>
    </row>
    <row r="1060" spans="1:5">
      <c r="A1060" s="55" t="s">
        <v>1830</v>
      </c>
      <c r="B1060" s="38">
        <v>3.5630000000000002</v>
      </c>
      <c r="C1060" s="38">
        <v>3.5910000000000002</v>
      </c>
      <c r="D1060" s="38">
        <v>3.6349999999999998</v>
      </c>
      <c r="E1060" s="38">
        <v>3.8940000000000001</v>
      </c>
    </row>
    <row r="1061" spans="1:5">
      <c r="A1061" s="55" t="s">
        <v>1831</v>
      </c>
      <c r="B1061" s="38">
        <v>3.4769999999999999</v>
      </c>
      <c r="C1061" s="38">
        <v>3.5019999999999998</v>
      </c>
      <c r="D1061" s="38">
        <v>3.55</v>
      </c>
      <c r="E1061" s="38">
        <v>3.7570000000000001</v>
      </c>
    </row>
    <row r="1062" spans="1:5">
      <c r="A1062" s="55" t="s">
        <v>1832</v>
      </c>
      <c r="B1062" s="38">
        <v>3.3460000000000001</v>
      </c>
      <c r="C1062" s="38">
        <v>3.3610000000000002</v>
      </c>
      <c r="D1062" s="38">
        <v>3.411</v>
      </c>
      <c r="E1062" s="38">
        <v>3.677</v>
      </c>
    </row>
    <row r="1063" spans="1:5">
      <c r="A1063" s="55" t="s">
        <v>1833</v>
      </c>
      <c r="B1063" s="38">
        <v>3.4350000000000001</v>
      </c>
      <c r="C1063" s="38">
        <v>3.4540000000000002</v>
      </c>
      <c r="D1063" s="38">
        <v>3.5059999999999998</v>
      </c>
      <c r="E1063" s="38">
        <v>3.738</v>
      </c>
    </row>
    <row r="1064" spans="1:5">
      <c r="A1064" s="55" t="s">
        <v>1834</v>
      </c>
      <c r="B1064" s="38">
        <v>3.407</v>
      </c>
      <c r="C1064" s="38">
        <v>3.427</v>
      </c>
      <c r="D1064" s="38">
        <v>3.4780000000000002</v>
      </c>
      <c r="E1064" s="38">
        <v>3.7040000000000002</v>
      </c>
    </row>
    <row r="1065" spans="1:5">
      <c r="A1065" s="55" t="s">
        <v>1835</v>
      </c>
      <c r="B1065" s="38">
        <v>3.3069999999999999</v>
      </c>
      <c r="C1065" s="38">
        <v>3.3279999999999998</v>
      </c>
      <c r="D1065" s="38">
        <v>3.3809999999999998</v>
      </c>
      <c r="E1065" s="38">
        <v>3.577</v>
      </c>
    </row>
    <row r="1066" spans="1:5">
      <c r="A1066" s="55" t="s">
        <v>1836</v>
      </c>
      <c r="B1066" s="38">
        <v>3.1819999999999999</v>
      </c>
      <c r="C1066" s="38">
        <v>3.2040000000000002</v>
      </c>
      <c r="D1066" s="38">
        <v>3.2669999999999999</v>
      </c>
      <c r="E1066" s="38">
        <v>3.5139999999999998</v>
      </c>
    </row>
    <row r="1067" spans="1:5">
      <c r="A1067" s="55" t="s">
        <v>1837</v>
      </c>
      <c r="B1067" s="38">
        <v>3.0259999999999998</v>
      </c>
      <c r="C1067" s="38">
        <v>3.0449999999999999</v>
      </c>
      <c r="D1067" s="38">
        <v>3.15</v>
      </c>
      <c r="E1067" s="38">
        <v>3.444</v>
      </c>
    </row>
    <row r="1068" spans="1:5">
      <c r="A1068" s="55" t="s">
        <v>1838</v>
      </c>
      <c r="B1068" s="38">
        <v>3.0489999999999999</v>
      </c>
      <c r="C1068" s="38">
        <v>3.077</v>
      </c>
      <c r="D1068" s="38">
        <v>3.1669999999999998</v>
      </c>
      <c r="E1068" s="38">
        <v>3.4289999999999998</v>
      </c>
    </row>
    <row r="1069" spans="1:5">
      <c r="A1069" s="55" t="s">
        <v>1839</v>
      </c>
      <c r="B1069" s="38">
        <v>2.7829999999999999</v>
      </c>
      <c r="C1069" s="38">
        <v>2.847</v>
      </c>
      <c r="D1069" s="38">
        <v>2.968</v>
      </c>
      <c r="E1069" s="38">
        <v>3.327</v>
      </c>
    </row>
    <row r="1070" spans="1:5">
      <c r="A1070" s="55" t="s">
        <v>1840</v>
      </c>
      <c r="B1070" s="38">
        <v>2.95</v>
      </c>
      <c r="C1070" s="38">
        <v>3.008</v>
      </c>
      <c r="D1070" s="38">
        <v>3.0960000000000001</v>
      </c>
      <c r="E1070" s="38">
        <v>3.387</v>
      </c>
    </row>
    <row r="1071" spans="1:5">
      <c r="A1071" s="55" t="s">
        <v>1841</v>
      </c>
      <c r="B1071" s="38">
        <v>2.7589999999999999</v>
      </c>
      <c r="C1071" s="38">
        <v>2.831</v>
      </c>
      <c r="D1071" s="38">
        <v>2.92</v>
      </c>
      <c r="E1071" s="38">
        <v>3.234</v>
      </c>
    </row>
    <row r="1072" spans="1:5">
      <c r="A1072" s="55" t="s">
        <v>1842</v>
      </c>
      <c r="B1072" s="38">
        <v>2.7389999999999999</v>
      </c>
      <c r="C1072" s="38">
        <v>2.8109999999999999</v>
      </c>
      <c r="D1072" s="38">
        <v>2.9169999999999998</v>
      </c>
      <c r="E1072" s="38">
        <v>3.1840000000000002</v>
      </c>
    </row>
    <row r="1073" spans="1:5">
      <c r="A1073" s="55" t="s">
        <v>1843</v>
      </c>
      <c r="B1073" s="38">
        <v>2.92</v>
      </c>
      <c r="C1073" s="38">
        <v>2.984</v>
      </c>
      <c r="D1073" s="38">
        <v>3.0960000000000001</v>
      </c>
      <c r="E1073" s="38">
        <v>3.359</v>
      </c>
    </row>
    <row r="1074" spans="1:5">
      <c r="A1074" s="55" t="s">
        <v>1844</v>
      </c>
      <c r="B1074" s="38">
        <v>2.847</v>
      </c>
      <c r="C1074" s="38">
        <v>2.9060000000000001</v>
      </c>
      <c r="D1074" s="38">
        <v>3.0179999999999998</v>
      </c>
      <c r="E1074" s="38">
        <v>3.2850000000000001</v>
      </c>
    </row>
    <row r="1075" spans="1:5">
      <c r="A1075" s="55" t="s">
        <v>1845</v>
      </c>
      <c r="B1075" s="38">
        <v>2.7829999999999999</v>
      </c>
      <c r="C1075" s="38">
        <v>2.8420000000000001</v>
      </c>
      <c r="D1075" s="38">
        <v>2.9460000000000002</v>
      </c>
      <c r="E1075" s="38">
        <v>3.2130000000000001</v>
      </c>
    </row>
    <row r="1076" spans="1:5">
      <c r="A1076" s="55" t="s">
        <v>1846</v>
      </c>
      <c r="B1076" s="38">
        <v>2.7349999999999999</v>
      </c>
      <c r="C1076" s="38">
        <v>2.7970000000000002</v>
      </c>
      <c r="D1076" s="38">
        <v>2.899</v>
      </c>
      <c r="E1076" s="38">
        <v>3.1880000000000002</v>
      </c>
    </row>
    <row r="1077" spans="1:5">
      <c r="A1077" s="55" t="s">
        <v>1847</v>
      </c>
      <c r="B1077" s="38">
        <v>2.8460000000000001</v>
      </c>
      <c r="C1077" s="38">
        <v>2.9020000000000001</v>
      </c>
      <c r="D1077" s="38">
        <v>3.0009999999999999</v>
      </c>
      <c r="E1077" s="38">
        <v>3.2919999999999998</v>
      </c>
    </row>
    <row r="1078" spans="1:5">
      <c r="A1078" s="55" t="s">
        <v>1848</v>
      </c>
      <c r="B1078" s="38">
        <v>2.8420000000000001</v>
      </c>
      <c r="C1078" s="38">
        <v>2.9039999999999999</v>
      </c>
      <c r="D1078" s="38">
        <v>3.0030000000000001</v>
      </c>
      <c r="E1078" s="38">
        <v>3.278</v>
      </c>
    </row>
    <row r="1079" spans="1:5">
      <c r="A1079" s="55" t="s">
        <v>1849</v>
      </c>
      <c r="B1079" s="38">
        <v>2.9209999999999998</v>
      </c>
      <c r="C1079" s="38">
        <v>2.9809999999999999</v>
      </c>
      <c r="D1079" s="38">
        <v>3.0680000000000001</v>
      </c>
      <c r="E1079" s="38">
        <v>3.3519999999999999</v>
      </c>
    </row>
    <row r="1080" spans="1:5">
      <c r="A1080" s="55" t="s">
        <v>1850</v>
      </c>
      <c r="B1080" s="38">
        <v>2.8660000000000001</v>
      </c>
      <c r="C1080" s="38">
        <v>2.9390000000000001</v>
      </c>
      <c r="D1080" s="38">
        <v>3.024</v>
      </c>
      <c r="E1080" s="38">
        <v>3.2930000000000001</v>
      </c>
    </row>
    <row r="1081" spans="1:5">
      <c r="A1081" s="55" t="s">
        <v>1851</v>
      </c>
      <c r="B1081" s="38">
        <v>2.9020000000000001</v>
      </c>
      <c r="C1081" s="38">
        <v>2.98</v>
      </c>
      <c r="D1081" s="38">
        <v>3.052</v>
      </c>
      <c r="E1081" s="38">
        <v>3.319</v>
      </c>
    </row>
    <row r="1082" spans="1:5">
      <c r="A1082" s="55" t="s">
        <v>1852</v>
      </c>
      <c r="B1082" s="38">
        <v>2.819</v>
      </c>
      <c r="C1082" s="38">
        <v>2.8919999999999999</v>
      </c>
      <c r="D1082" s="38">
        <v>2.9590000000000001</v>
      </c>
      <c r="E1082" s="38">
        <v>3.2549999999999999</v>
      </c>
    </row>
    <row r="1083" spans="1:5">
      <c r="A1083" s="55" t="s">
        <v>1853</v>
      </c>
      <c r="B1083" s="38">
        <v>2.8180000000000001</v>
      </c>
      <c r="C1083" s="38">
        <v>2.895</v>
      </c>
      <c r="D1083" s="38">
        <v>2.9529999999999998</v>
      </c>
      <c r="E1083" s="38">
        <v>3.2749999999999999</v>
      </c>
    </row>
    <row r="1084" spans="1:5">
      <c r="A1084" s="55" t="s">
        <v>1854</v>
      </c>
      <c r="B1084" s="38">
        <v>2.7410000000000001</v>
      </c>
      <c r="C1084" s="38">
        <v>2.8159999999999998</v>
      </c>
      <c r="D1084" s="38">
        <v>2.867</v>
      </c>
      <c r="E1084" s="38">
        <v>3.181</v>
      </c>
    </row>
    <row r="1085" spans="1:5">
      <c r="A1085" s="55" t="s">
        <v>1855</v>
      </c>
      <c r="B1085" s="38">
        <v>2.794</v>
      </c>
      <c r="C1085" s="38">
        <v>2.8730000000000002</v>
      </c>
      <c r="D1085" s="38">
        <v>2.9319999999999999</v>
      </c>
      <c r="E1085" s="38">
        <v>3.2210000000000001</v>
      </c>
    </row>
    <row r="1086" spans="1:5">
      <c r="A1086" s="55" t="s">
        <v>1856</v>
      </c>
      <c r="B1086" s="38">
        <v>2.8279999999999998</v>
      </c>
      <c r="C1086" s="38">
        <v>2.9039999999999999</v>
      </c>
      <c r="D1086" s="38">
        <v>2.9620000000000002</v>
      </c>
      <c r="E1086" s="38">
        <v>3.24</v>
      </c>
    </row>
    <row r="1087" spans="1:5">
      <c r="A1087" s="55" t="s">
        <v>1857</v>
      </c>
      <c r="B1087" s="38">
        <v>2.8679999999999999</v>
      </c>
      <c r="C1087" s="38">
        <v>2.9409999999999998</v>
      </c>
      <c r="D1087" s="38">
        <v>2.9990000000000001</v>
      </c>
      <c r="E1087" s="38">
        <v>3.27</v>
      </c>
    </row>
    <row r="1088" spans="1:5">
      <c r="A1088" s="55" t="s">
        <v>1858</v>
      </c>
      <c r="B1088" s="38">
        <v>2.8730000000000002</v>
      </c>
      <c r="C1088" s="38">
        <v>2.9489999999999998</v>
      </c>
      <c r="D1088" s="38">
        <v>3.012</v>
      </c>
      <c r="E1088" s="38">
        <v>3.319</v>
      </c>
    </row>
    <row r="1089" spans="1:5">
      <c r="A1089" s="55" t="s">
        <v>1859</v>
      </c>
      <c r="B1089" s="38">
        <v>2.9119999999999999</v>
      </c>
      <c r="C1089" s="38">
        <v>2.99</v>
      </c>
      <c r="D1089" s="38">
        <v>3.0409999999999999</v>
      </c>
      <c r="E1089" s="38">
        <v>3.367</v>
      </c>
    </row>
    <row r="1090" spans="1:5">
      <c r="A1090" s="55" t="s">
        <v>1860</v>
      </c>
      <c r="B1090" s="38">
        <v>3.008</v>
      </c>
      <c r="C1090" s="38">
        <v>3.0859999999999999</v>
      </c>
      <c r="D1090" s="38">
        <v>3.1480000000000001</v>
      </c>
      <c r="E1090" s="38">
        <v>3.4689999999999999</v>
      </c>
    </row>
    <row r="1091" spans="1:5">
      <c r="A1091" s="55" t="s">
        <v>1861</v>
      </c>
      <c r="B1091" s="38">
        <v>3.0859999999999999</v>
      </c>
      <c r="C1091" s="38">
        <v>3.1739999999999999</v>
      </c>
      <c r="D1091" s="38">
        <v>3.242</v>
      </c>
      <c r="E1091" s="38">
        <v>3.5089999999999999</v>
      </c>
    </row>
    <row r="1092" spans="1:5">
      <c r="A1092" s="55" t="s">
        <v>1862</v>
      </c>
      <c r="B1092" s="38">
        <v>3.0779999999999998</v>
      </c>
      <c r="C1092" s="38">
        <v>3.1629999999999998</v>
      </c>
      <c r="D1092" s="38">
        <v>3.23</v>
      </c>
      <c r="E1092" s="38">
        <v>3.4950000000000001</v>
      </c>
    </row>
    <row r="1093" spans="1:5">
      <c r="A1093" s="55" t="s">
        <v>1863</v>
      </c>
      <c r="B1093" s="38">
        <v>3.0289999999999999</v>
      </c>
      <c r="C1093" s="38">
        <v>3.1240000000000001</v>
      </c>
      <c r="D1093" s="38">
        <v>3.1850000000000001</v>
      </c>
      <c r="E1093" s="38">
        <v>3.4620000000000002</v>
      </c>
    </row>
    <row r="1094" spans="1:5">
      <c r="A1094" s="55" t="s">
        <v>1864</v>
      </c>
      <c r="B1094" s="38">
        <v>3.036</v>
      </c>
      <c r="C1094" s="38">
        <v>3.1230000000000002</v>
      </c>
      <c r="D1094" s="38">
        <v>3.1859999999999999</v>
      </c>
      <c r="E1094" s="38">
        <v>3.4460000000000002</v>
      </c>
    </row>
    <row r="1095" spans="1:5">
      <c r="A1095" s="55" t="s">
        <v>1865</v>
      </c>
      <c r="B1095" s="38">
        <v>2.8610000000000002</v>
      </c>
      <c r="C1095" s="38">
        <v>2.9470000000000001</v>
      </c>
      <c r="D1095" s="38">
        <v>3.0150000000000001</v>
      </c>
      <c r="E1095" s="38">
        <v>3.302</v>
      </c>
    </row>
    <row r="1096" spans="1:5">
      <c r="A1096" s="55" t="s">
        <v>1866</v>
      </c>
      <c r="B1096" s="38">
        <v>2.9319999999999999</v>
      </c>
      <c r="C1096" s="38">
        <v>3.0129999999999999</v>
      </c>
      <c r="D1096" s="38">
        <v>3.0920000000000001</v>
      </c>
      <c r="E1096" s="38">
        <v>3.3660000000000001</v>
      </c>
    </row>
    <row r="1097" spans="1:5">
      <c r="A1097" s="55" t="s">
        <v>1867</v>
      </c>
      <c r="B1097" s="38">
        <v>2.9319999999999999</v>
      </c>
      <c r="C1097" s="38">
        <v>2.9969999999999999</v>
      </c>
      <c r="D1097" s="38">
        <v>3.0649999999999999</v>
      </c>
      <c r="E1097" s="38">
        <v>3.335</v>
      </c>
    </row>
    <row r="1098" spans="1:5">
      <c r="A1098" s="55" t="s">
        <v>1868</v>
      </c>
      <c r="B1098" s="38">
        <v>2.94</v>
      </c>
      <c r="C1098" s="38">
        <v>3.0070000000000001</v>
      </c>
      <c r="D1098" s="38">
        <v>3.052</v>
      </c>
      <c r="E1098" s="38">
        <v>3.351</v>
      </c>
    </row>
    <row r="1099" spans="1:5">
      <c r="A1099" s="55" t="s">
        <v>1869</v>
      </c>
      <c r="B1099" s="38">
        <v>3.153</v>
      </c>
      <c r="C1099" s="38">
        <v>3.1850000000000001</v>
      </c>
      <c r="D1099" s="38">
        <v>3.2010000000000001</v>
      </c>
      <c r="E1099" s="38">
        <v>3.4420000000000002</v>
      </c>
    </row>
    <row r="1100" spans="1:5">
      <c r="A1100" s="55" t="s">
        <v>1870</v>
      </c>
      <c r="B1100" s="38">
        <v>3.1190000000000002</v>
      </c>
      <c r="C1100" s="38">
        <v>3.1269999999999998</v>
      </c>
      <c r="D1100" s="38">
        <v>3.1459999999999999</v>
      </c>
      <c r="E1100" s="38">
        <v>3.4079999999999999</v>
      </c>
    </row>
    <row r="1101" spans="1:5">
      <c r="A1101" s="55" t="s">
        <v>1871</v>
      </c>
      <c r="B1101" s="38">
        <v>2.9750000000000001</v>
      </c>
      <c r="C1101" s="38">
        <v>2.976</v>
      </c>
      <c r="D1101" s="38">
        <v>3.0230000000000001</v>
      </c>
      <c r="E1101" s="38">
        <v>3.3029999999999999</v>
      </c>
    </row>
    <row r="1102" spans="1:5">
      <c r="A1102" s="55" t="s">
        <v>1872</v>
      </c>
      <c r="B1102" s="38">
        <v>2.9569999999999999</v>
      </c>
      <c r="C1102" s="38">
        <v>2.9580000000000002</v>
      </c>
      <c r="D1102" s="38">
        <v>3.01</v>
      </c>
      <c r="E1102" s="38">
        <v>3.3180000000000001</v>
      </c>
    </row>
    <row r="1103" spans="1:5">
      <c r="A1103" s="55" t="s">
        <v>1873</v>
      </c>
      <c r="B1103" s="38">
        <v>3.06</v>
      </c>
      <c r="C1103" s="38">
        <v>3.0659999999999998</v>
      </c>
      <c r="D1103" s="38">
        <v>3.1110000000000002</v>
      </c>
      <c r="E1103" s="38">
        <v>3.3980000000000001</v>
      </c>
    </row>
    <row r="1104" spans="1:5">
      <c r="A1104" s="55" t="s">
        <v>1874</v>
      </c>
      <c r="B1104" s="38">
        <v>3.093</v>
      </c>
      <c r="C1104" s="38">
        <v>3.0939999999999999</v>
      </c>
      <c r="D1104" s="38">
        <v>3.1379999999999999</v>
      </c>
      <c r="E1104" s="38">
        <v>3.448</v>
      </c>
    </row>
    <row r="1105" spans="1:5">
      <c r="A1105" s="55" t="s">
        <v>1875</v>
      </c>
      <c r="B1105" s="38">
        <v>3.129</v>
      </c>
      <c r="C1105" s="38">
        <v>3.1219999999999999</v>
      </c>
      <c r="D1105" s="38">
        <v>3.157</v>
      </c>
      <c r="E1105" s="38">
        <v>3.452</v>
      </c>
    </row>
    <row r="1106" spans="1:5">
      <c r="A1106" s="55" t="s">
        <v>1876</v>
      </c>
      <c r="B1106" s="38">
        <v>3.0720000000000001</v>
      </c>
      <c r="C1106" s="38">
        <v>3.0649999999999999</v>
      </c>
      <c r="D1106" s="38">
        <v>3.097</v>
      </c>
      <c r="E1106" s="38">
        <v>3.3879999999999999</v>
      </c>
    </row>
    <row r="1107" spans="1:5">
      <c r="A1107" s="55" t="s">
        <v>1877</v>
      </c>
      <c r="B1107" s="38">
        <v>3.0329999999999999</v>
      </c>
      <c r="C1107" s="38">
        <v>3.0169999999999999</v>
      </c>
      <c r="D1107" s="38">
        <v>3.0390000000000001</v>
      </c>
      <c r="E1107" s="38">
        <v>3.3239999999999998</v>
      </c>
    </row>
    <row r="1108" spans="1:5">
      <c r="A1108" s="55" t="s">
        <v>1878</v>
      </c>
      <c r="B1108" s="38">
        <v>3.137</v>
      </c>
      <c r="C1108" s="38">
        <v>3.1120000000000001</v>
      </c>
      <c r="D1108" s="38">
        <v>3.1230000000000002</v>
      </c>
      <c r="E1108" s="38">
        <v>3.4289999999999998</v>
      </c>
    </row>
    <row r="1109" spans="1:5">
      <c r="A1109" s="55" t="s">
        <v>1879</v>
      </c>
      <c r="B1109" s="38">
        <v>3.1459999999999999</v>
      </c>
      <c r="C1109" s="38">
        <v>3.101</v>
      </c>
      <c r="D1109" s="38">
        <v>3.1120000000000001</v>
      </c>
      <c r="E1109" s="38">
        <v>3.4089999999999998</v>
      </c>
    </row>
    <row r="1110" spans="1:5">
      <c r="A1110" s="55" t="s">
        <v>1880</v>
      </c>
      <c r="B1110" s="38">
        <v>3.169</v>
      </c>
      <c r="C1110" s="38">
        <v>3.1309999999999998</v>
      </c>
      <c r="D1110" s="38">
        <v>3.1320000000000001</v>
      </c>
      <c r="E1110" s="38">
        <v>3.4289999999999998</v>
      </c>
    </row>
    <row r="1111" spans="1:5">
      <c r="A1111" s="55" t="s">
        <v>1881</v>
      </c>
      <c r="B1111" s="38">
        <v>3.2679999999999998</v>
      </c>
      <c r="C1111" s="38">
        <v>3.21</v>
      </c>
      <c r="D1111" s="38">
        <v>3.2029999999999998</v>
      </c>
      <c r="E1111" s="38">
        <v>3.488</v>
      </c>
    </row>
    <row r="1112" spans="1:5">
      <c r="A1112" s="55" t="s">
        <v>1882</v>
      </c>
      <c r="B1112" s="38">
        <v>3.3740000000000001</v>
      </c>
      <c r="C1112" s="38">
        <v>3.3159999999999998</v>
      </c>
      <c r="D1112" s="38">
        <v>3.3260000000000001</v>
      </c>
      <c r="E1112" s="38">
        <v>3.593</v>
      </c>
    </row>
    <row r="1113" spans="1:5">
      <c r="A1113" s="55" t="s">
        <v>1883</v>
      </c>
      <c r="B1113" s="38">
        <v>3.3650000000000002</v>
      </c>
      <c r="C1113" s="38">
        <v>3.3050000000000002</v>
      </c>
      <c r="D1113" s="38">
        <v>3.3069999999999999</v>
      </c>
      <c r="E1113" s="38">
        <v>3.5870000000000002</v>
      </c>
    </row>
    <row r="1114" spans="1:5">
      <c r="A1114" s="55" t="s">
        <v>1884</v>
      </c>
      <c r="B1114" s="38">
        <v>3.4249999999999998</v>
      </c>
      <c r="C1114" s="38">
        <v>3.3740000000000001</v>
      </c>
      <c r="D1114" s="38">
        <v>3.3780000000000001</v>
      </c>
      <c r="E1114" s="38">
        <v>3.6520000000000001</v>
      </c>
    </row>
    <row r="1115" spans="1:5">
      <c r="A1115" s="55" t="s">
        <v>1885</v>
      </c>
      <c r="B1115" s="38">
        <v>3.3860000000000001</v>
      </c>
      <c r="C1115" s="38">
        <v>3.335</v>
      </c>
      <c r="D1115" s="38">
        <v>3.3460000000000001</v>
      </c>
      <c r="E1115" s="38">
        <v>3.6480000000000001</v>
      </c>
    </row>
    <row r="1116" spans="1:5">
      <c r="A1116" s="55" t="s">
        <v>1886</v>
      </c>
      <c r="B1116" s="38">
        <v>3.4809999999999999</v>
      </c>
      <c r="C1116" s="38">
        <v>3.411</v>
      </c>
      <c r="D1116" s="38">
        <v>3.4079999999999999</v>
      </c>
      <c r="E1116" s="38">
        <v>3.702</v>
      </c>
    </row>
    <row r="1117" spans="1:5">
      <c r="A1117" s="55" t="s">
        <v>1887</v>
      </c>
      <c r="B1117" s="38">
        <v>3.51</v>
      </c>
      <c r="C1117" s="38">
        <v>3.44</v>
      </c>
      <c r="D1117" s="38">
        <v>3.44</v>
      </c>
      <c r="E1117" s="38">
        <v>3.7320000000000002</v>
      </c>
    </row>
    <row r="1118" spans="1:5">
      <c r="A1118" s="55" t="s">
        <v>1888</v>
      </c>
      <c r="B1118" s="38">
        <v>3.5</v>
      </c>
      <c r="C1118" s="38">
        <v>3.43</v>
      </c>
      <c r="D1118" s="38">
        <v>3.4289999999999998</v>
      </c>
      <c r="E1118" s="38">
        <v>3.7029999999999998</v>
      </c>
    </row>
    <row r="1119" spans="1:5">
      <c r="A1119" s="55" t="s">
        <v>1889</v>
      </c>
      <c r="B1119" s="38">
        <v>3.4950000000000001</v>
      </c>
      <c r="C1119" s="38">
        <v>3.4279999999999999</v>
      </c>
      <c r="D1119" s="38">
        <v>3.431</v>
      </c>
      <c r="E1119" s="38">
        <v>3.6819999999999999</v>
      </c>
    </row>
    <row r="1120" spans="1:5">
      <c r="A1120" s="55" t="s">
        <v>1890</v>
      </c>
      <c r="B1120" s="38">
        <v>3.4489999999999998</v>
      </c>
      <c r="C1120" s="38">
        <v>3.3660000000000001</v>
      </c>
      <c r="D1120" s="38">
        <v>3.3610000000000002</v>
      </c>
      <c r="E1120" s="38">
        <v>3.6070000000000002</v>
      </c>
    </row>
    <row r="1121" spans="1:5">
      <c r="A1121" s="55" t="s">
        <v>1891</v>
      </c>
      <c r="B1121" s="38">
        <v>3.48</v>
      </c>
      <c r="C1121" s="38">
        <v>3.3759999999999999</v>
      </c>
      <c r="D1121" s="38">
        <v>3.3660000000000001</v>
      </c>
      <c r="E1121" s="38">
        <v>3.6160000000000001</v>
      </c>
    </row>
    <row r="1122" spans="1:5">
      <c r="A1122" s="55" t="s">
        <v>1892</v>
      </c>
      <c r="B1122" s="38">
        <v>3.5569999999999999</v>
      </c>
      <c r="C1122" s="38">
        <v>3.4260000000000002</v>
      </c>
      <c r="D1122" s="38">
        <v>3.403</v>
      </c>
      <c r="E1122" s="38">
        <v>3.6459999999999999</v>
      </c>
    </row>
    <row r="1123" spans="1:5">
      <c r="A1123" s="55" t="s">
        <v>1893</v>
      </c>
      <c r="B1123" s="38">
        <v>3.6709999999999998</v>
      </c>
      <c r="C1123" s="38">
        <v>3.5630000000000002</v>
      </c>
      <c r="D1123" s="38">
        <v>3.54</v>
      </c>
      <c r="E1123" s="38">
        <v>3.786</v>
      </c>
    </row>
    <row r="1124" spans="1:5">
      <c r="A1124" s="55" t="s">
        <v>1894</v>
      </c>
      <c r="B1124" s="38">
        <v>3.7570000000000001</v>
      </c>
      <c r="C1124" s="38">
        <v>3.6360000000000001</v>
      </c>
      <c r="D1124" s="38">
        <v>3.5990000000000002</v>
      </c>
      <c r="E1124" s="38">
        <v>3.8050000000000002</v>
      </c>
    </row>
    <row r="1125" spans="1:5">
      <c r="A1125" s="55" t="s">
        <v>1895</v>
      </c>
      <c r="B1125" s="38">
        <v>3.8029999999999999</v>
      </c>
      <c r="C1125" s="38">
        <v>3.6930000000000001</v>
      </c>
      <c r="D1125" s="38">
        <v>3.6440000000000001</v>
      </c>
      <c r="E1125" s="38">
        <v>3.83</v>
      </c>
    </row>
    <row r="1126" spans="1:5">
      <c r="A1126" s="55" t="s">
        <v>1896</v>
      </c>
      <c r="B1126" s="38">
        <v>3.9590000000000001</v>
      </c>
      <c r="C1126" s="38">
        <v>3.8690000000000002</v>
      </c>
      <c r="D1126" s="38">
        <v>3.8279999999999998</v>
      </c>
      <c r="E1126" s="38">
        <v>4.0140000000000002</v>
      </c>
    </row>
    <row r="1127" spans="1:5">
      <c r="A1127" s="55" t="s">
        <v>1897</v>
      </c>
      <c r="B1127" s="38">
        <v>3.9260000000000002</v>
      </c>
      <c r="C1127" s="38">
        <v>3.8210000000000002</v>
      </c>
      <c r="D1127" s="38">
        <v>3.7789999999999999</v>
      </c>
      <c r="E1127" s="38">
        <v>3.952</v>
      </c>
    </row>
    <row r="1128" spans="1:5">
      <c r="A1128" s="55" t="s">
        <v>1898</v>
      </c>
      <c r="B1128" s="38">
        <v>3.93</v>
      </c>
      <c r="C1128" s="38">
        <v>3.831</v>
      </c>
      <c r="D1128" s="38">
        <v>3.774</v>
      </c>
      <c r="E1128" s="38">
        <v>3.9380000000000002</v>
      </c>
    </row>
    <row r="1129" spans="1:5">
      <c r="A1129" s="55" t="s">
        <v>1899</v>
      </c>
      <c r="B1129" s="38">
        <v>4.0010000000000003</v>
      </c>
      <c r="C1129" s="38">
        <v>3.9140000000000001</v>
      </c>
      <c r="D1129" s="38">
        <v>3.8639999999999999</v>
      </c>
      <c r="E1129" s="38">
        <v>3.9769999999999999</v>
      </c>
    </row>
    <row r="1130" spans="1:5">
      <c r="A1130" s="55" t="s">
        <v>1900</v>
      </c>
      <c r="B1130" s="38">
        <v>4.1050000000000004</v>
      </c>
      <c r="C1130" s="38">
        <v>4.0069999999999997</v>
      </c>
      <c r="D1130" s="38">
        <v>3.9420000000000002</v>
      </c>
      <c r="E1130" s="38">
        <v>4.0049999999999999</v>
      </c>
    </row>
    <row r="1131" spans="1:5">
      <c r="A1131" s="55" t="s">
        <v>1901</v>
      </c>
      <c r="B1131" s="38">
        <v>4.1230000000000002</v>
      </c>
      <c r="C1131" s="38">
        <v>4.01</v>
      </c>
      <c r="D1131" s="38">
        <v>3.9380000000000002</v>
      </c>
      <c r="E1131" s="38">
        <v>4.0289999999999999</v>
      </c>
    </row>
    <row r="1132" spans="1:5">
      <c r="A1132" s="55" t="s">
        <v>1902</v>
      </c>
      <c r="B1132" s="38">
        <v>4.1029999999999998</v>
      </c>
      <c r="C1132" s="38">
        <v>3.9910000000000001</v>
      </c>
      <c r="D1132" s="38">
        <v>3.9159999999999999</v>
      </c>
      <c r="E1132" s="38">
        <v>3.9740000000000002</v>
      </c>
    </row>
    <row r="1133" spans="1:5">
      <c r="A1133" s="55" t="s">
        <v>1903</v>
      </c>
      <c r="B1133" s="38">
        <v>4.0819999999999999</v>
      </c>
      <c r="C1133" s="38">
        <v>3.9710000000000001</v>
      </c>
      <c r="D1133" s="38">
        <v>3.8980000000000001</v>
      </c>
      <c r="E1133" s="38">
        <v>4.0289999999999999</v>
      </c>
    </row>
    <row r="1134" spans="1:5">
      <c r="A1134" s="55" t="s">
        <v>1904</v>
      </c>
      <c r="B1134" s="38">
        <v>4.0430000000000001</v>
      </c>
      <c r="C1134" s="38">
        <v>3.9329999999999998</v>
      </c>
      <c r="D1134" s="38">
        <v>3.863</v>
      </c>
      <c r="E1134" s="38">
        <v>3.9849999999999999</v>
      </c>
    </row>
    <row r="1135" spans="1:5">
      <c r="A1135" s="55" t="s">
        <v>1905</v>
      </c>
      <c r="B1135" s="38">
        <v>4.0739999999999998</v>
      </c>
      <c r="C1135" s="38">
        <v>3.9620000000000002</v>
      </c>
      <c r="D1135" s="38">
        <v>3.8849999999999998</v>
      </c>
      <c r="E1135" s="38">
        <v>3.9790000000000001</v>
      </c>
    </row>
    <row r="1136" spans="1:5">
      <c r="A1136" s="55" t="s">
        <v>1906</v>
      </c>
      <c r="B1136" s="38">
        <v>4.13</v>
      </c>
      <c r="C1136" s="38">
        <v>4.0090000000000003</v>
      </c>
      <c r="D1136" s="38">
        <v>3.92</v>
      </c>
      <c r="E1136" s="38">
        <v>3.99</v>
      </c>
    </row>
    <row r="1137" spans="1:5">
      <c r="A1137" s="55" t="s">
        <v>1907</v>
      </c>
      <c r="B1137" s="38">
        <v>4.0529999999999999</v>
      </c>
      <c r="C1137" s="38">
        <v>3.931</v>
      </c>
      <c r="D1137" s="38">
        <v>3.8439999999999999</v>
      </c>
      <c r="E1137" s="38">
        <v>3.952</v>
      </c>
    </row>
    <row r="1138" spans="1:5">
      <c r="A1138" s="55" t="s">
        <v>1908</v>
      </c>
      <c r="B1138" s="38">
        <v>4.032</v>
      </c>
      <c r="C1138" s="38">
        <v>3.9119999999999999</v>
      </c>
      <c r="D1138" s="38">
        <v>3.827</v>
      </c>
      <c r="E1138" s="38">
        <v>3.9319999999999999</v>
      </c>
    </row>
    <row r="1139" spans="1:5">
      <c r="A1139" s="55" t="s">
        <v>1909</v>
      </c>
      <c r="B1139" s="38">
        <v>3.97</v>
      </c>
      <c r="C1139" s="38">
        <v>3.8530000000000002</v>
      </c>
      <c r="D1139" s="38">
        <v>3.7759999999999998</v>
      </c>
      <c r="E1139" s="38">
        <v>3.8719999999999999</v>
      </c>
    </row>
    <row r="1140" spans="1:5">
      <c r="A1140" s="55" t="s">
        <v>1910</v>
      </c>
      <c r="B1140" s="38">
        <v>4.024</v>
      </c>
      <c r="C1140" s="38">
        <v>3.9129999999999998</v>
      </c>
      <c r="D1140" s="38">
        <v>3.83</v>
      </c>
      <c r="E1140" s="38">
        <v>3.9020000000000001</v>
      </c>
    </row>
    <row r="1141" spans="1:5">
      <c r="A1141" s="55" t="s">
        <v>1911</v>
      </c>
      <c r="B1141" s="38">
        <v>4.1459999999999999</v>
      </c>
      <c r="C1141" s="38">
        <v>4.0309999999999997</v>
      </c>
      <c r="D1141" s="38">
        <v>3.9409999999999998</v>
      </c>
      <c r="E1141" s="38">
        <v>4.0250000000000004</v>
      </c>
    </row>
    <row r="1142" spans="1:5">
      <c r="A1142" s="55" t="s">
        <v>1912</v>
      </c>
      <c r="B1142" s="38">
        <v>4.0880000000000001</v>
      </c>
      <c r="C1142" s="38">
        <v>3.9689999999999999</v>
      </c>
      <c r="D1142" s="38">
        <v>3.8820000000000001</v>
      </c>
      <c r="E1142" s="38">
        <v>3.9609999999999999</v>
      </c>
    </row>
    <row r="1143" spans="1:5">
      <c r="A1143" s="55" t="s">
        <v>1913</v>
      </c>
      <c r="B1143" s="38">
        <v>4.1100000000000003</v>
      </c>
      <c r="C1143" s="38">
        <v>3.996</v>
      </c>
      <c r="D1143" s="38">
        <v>3.919</v>
      </c>
      <c r="E1143" s="38">
        <v>4.0030000000000001</v>
      </c>
    </row>
    <row r="1144" spans="1:5">
      <c r="A1144" s="55" t="s">
        <v>1914</v>
      </c>
      <c r="B1144" s="38">
        <v>4.1150000000000002</v>
      </c>
      <c r="C1144" s="38">
        <v>3.9929999999999999</v>
      </c>
      <c r="D1144" s="38">
        <v>3.9180000000000001</v>
      </c>
      <c r="E1144" s="38">
        <v>3.9969999999999999</v>
      </c>
    </row>
    <row r="1145" spans="1:5">
      <c r="A1145" s="55" t="s">
        <v>1915</v>
      </c>
      <c r="B1145" s="38">
        <v>4.242</v>
      </c>
      <c r="C1145" s="38">
        <v>4.1180000000000003</v>
      </c>
      <c r="D1145" s="38">
        <v>4.0490000000000004</v>
      </c>
      <c r="E1145" s="38">
        <v>4.12</v>
      </c>
    </row>
    <row r="1146" spans="1:5">
      <c r="A1146" s="55" t="s">
        <v>1916</v>
      </c>
      <c r="B1146" s="38">
        <v>4.3550000000000004</v>
      </c>
      <c r="C1146" s="38">
        <v>4.24</v>
      </c>
      <c r="D1146" s="38">
        <v>4.1769999999999996</v>
      </c>
      <c r="E1146" s="38">
        <v>4.2530000000000001</v>
      </c>
    </row>
    <row r="1147" spans="1:5">
      <c r="A1147" s="55" t="s">
        <v>1917</v>
      </c>
      <c r="B1147" s="38">
        <v>4.3319999999999999</v>
      </c>
      <c r="C1147" s="38">
        <v>4.22</v>
      </c>
      <c r="D1147" s="38">
        <v>4.1660000000000004</v>
      </c>
      <c r="E1147" s="38">
        <v>4.282</v>
      </c>
    </row>
    <row r="1148" spans="1:5">
      <c r="A1148" s="55" t="s">
        <v>1918</v>
      </c>
      <c r="B1148" s="38">
        <v>4.2290000000000001</v>
      </c>
      <c r="C1148" s="38">
        <v>4.1210000000000004</v>
      </c>
      <c r="D1148" s="38">
        <v>4.0679999999999996</v>
      </c>
      <c r="E1148" s="38">
        <v>4.1779999999999999</v>
      </c>
    </row>
    <row r="1149" spans="1:5">
      <c r="A1149" s="55" t="s">
        <v>1919</v>
      </c>
      <c r="B1149" s="38">
        <v>4.1710000000000003</v>
      </c>
      <c r="C1149" s="38">
        <v>4.0720000000000001</v>
      </c>
      <c r="D1149" s="38">
        <v>4.0220000000000002</v>
      </c>
      <c r="E1149" s="38">
        <v>4.1219999999999999</v>
      </c>
    </row>
    <row r="1150" spans="1:5">
      <c r="A1150" s="55" t="s">
        <v>1920</v>
      </c>
      <c r="B1150" s="38">
        <v>4.0579999999999998</v>
      </c>
      <c r="C1150" s="38">
        <v>3.97</v>
      </c>
      <c r="D1150" s="38">
        <v>3.9140000000000001</v>
      </c>
      <c r="E1150" s="38">
        <v>4.0439999999999996</v>
      </c>
    </row>
    <row r="1151" spans="1:5">
      <c r="A1151" s="55" t="s">
        <v>1921</v>
      </c>
      <c r="B1151" s="38">
        <v>4.0030000000000001</v>
      </c>
      <c r="C1151" s="38">
        <v>3.9119999999999999</v>
      </c>
      <c r="D1151" s="38">
        <v>3.8580000000000001</v>
      </c>
      <c r="E1151" s="38">
        <v>3.99</v>
      </c>
    </row>
    <row r="1152" spans="1:5">
      <c r="A1152" s="55" t="s">
        <v>1922</v>
      </c>
      <c r="B1152" s="38">
        <v>4.0110000000000001</v>
      </c>
      <c r="C1152" s="38">
        <v>3.92</v>
      </c>
      <c r="D1152" s="38">
        <v>3.863</v>
      </c>
      <c r="E1152" s="38">
        <v>3.9790000000000001</v>
      </c>
    </row>
    <row r="1153" spans="1:5">
      <c r="A1153" s="55" t="s">
        <v>1923</v>
      </c>
      <c r="B1153" s="38">
        <v>3.98</v>
      </c>
      <c r="C1153" s="38">
        <v>3.8879999999999999</v>
      </c>
      <c r="D1153" s="38">
        <v>3.8250000000000002</v>
      </c>
      <c r="E1153" s="38">
        <v>3.97</v>
      </c>
    </row>
    <row r="1154" spans="1:5">
      <c r="A1154" s="55" t="s">
        <v>1924</v>
      </c>
      <c r="B1154" s="38">
        <v>3.891</v>
      </c>
      <c r="C1154" s="38">
        <v>3.802</v>
      </c>
      <c r="D1154" s="38">
        <v>3.7330000000000001</v>
      </c>
      <c r="E1154" s="38">
        <v>3.8610000000000002</v>
      </c>
    </row>
    <row r="1155" spans="1:5">
      <c r="A1155" s="55" t="s">
        <v>1925</v>
      </c>
      <c r="B1155" s="38">
        <v>4.0049999999999999</v>
      </c>
      <c r="C1155" s="38">
        <v>3.919</v>
      </c>
      <c r="D1155" s="38">
        <v>3.83</v>
      </c>
      <c r="E1155" s="38">
        <v>3.944</v>
      </c>
    </row>
    <row r="1156" spans="1:5">
      <c r="A1156" s="55" t="s">
        <v>1926</v>
      </c>
      <c r="B1156" s="38">
        <v>4.0350000000000001</v>
      </c>
      <c r="C1156" s="38">
        <v>3.9569999999999999</v>
      </c>
      <c r="D1156" s="38">
        <v>3.8759999999999999</v>
      </c>
      <c r="E1156" s="38">
        <v>4.0039999999999996</v>
      </c>
    </row>
    <row r="1157" spans="1:5">
      <c r="A1157" s="55" t="s">
        <v>1927</v>
      </c>
      <c r="B1157" s="38">
        <v>4.008</v>
      </c>
      <c r="C1157" s="38">
        <v>3.9249999999999998</v>
      </c>
      <c r="D1157" s="38">
        <v>3.8460000000000001</v>
      </c>
      <c r="E1157" s="38">
        <v>3.9889999999999999</v>
      </c>
    </row>
    <row r="1158" spans="1:5">
      <c r="A1158" s="55" t="s">
        <v>1928</v>
      </c>
      <c r="B1158" s="38">
        <v>4.05</v>
      </c>
      <c r="C1158" s="38">
        <v>3.9750000000000001</v>
      </c>
      <c r="D1158" s="38">
        <v>3.89</v>
      </c>
      <c r="E1158" s="38">
        <v>4.024</v>
      </c>
    </row>
    <row r="1159" spans="1:5">
      <c r="A1159" s="55" t="s">
        <v>1929</v>
      </c>
      <c r="B1159" s="38">
        <v>3.9809999999999999</v>
      </c>
      <c r="C1159" s="38">
        <v>3.9020000000000001</v>
      </c>
      <c r="D1159" s="38">
        <v>3.835</v>
      </c>
      <c r="E1159" s="38">
        <v>4.0049999999999999</v>
      </c>
    </row>
    <row r="1160" spans="1:5">
      <c r="A1160" s="55" t="s">
        <v>1930</v>
      </c>
      <c r="B1160" s="38">
        <v>3.9039999999999999</v>
      </c>
      <c r="C1160" s="38">
        <v>3.8130000000000002</v>
      </c>
      <c r="D1160" s="38">
        <v>3.7480000000000002</v>
      </c>
      <c r="E1160" s="38">
        <v>3.919</v>
      </c>
    </row>
    <row r="1161" spans="1:5">
      <c r="A1161" s="55" t="s">
        <v>1931</v>
      </c>
      <c r="B1161" s="38">
        <v>3.9689999999999999</v>
      </c>
      <c r="C1161" s="38">
        <v>3.891</v>
      </c>
      <c r="D1161" s="38">
        <v>3.847</v>
      </c>
      <c r="E1161" s="38">
        <v>4.0609999999999999</v>
      </c>
    </row>
    <row r="1162" spans="1:5">
      <c r="A1162" s="55" t="s">
        <v>1932</v>
      </c>
      <c r="B1162" s="38">
        <v>3.9729999999999999</v>
      </c>
      <c r="C1162" s="38">
        <v>3.871</v>
      </c>
      <c r="D1162" s="38">
        <v>3.82</v>
      </c>
      <c r="E1162" s="38">
        <v>4.0519999999999996</v>
      </c>
    </row>
    <row r="1163" spans="1:5">
      <c r="A1163" s="55" t="s">
        <v>1933</v>
      </c>
      <c r="B1163" s="38">
        <v>3.85</v>
      </c>
      <c r="C1163" s="38">
        <v>3.7530000000000001</v>
      </c>
      <c r="D1163" s="38">
        <v>3.7090000000000001</v>
      </c>
      <c r="E1163" s="38">
        <v>3.968</v>
      </c>
    </row>
    <row r="1164" spans="1:5">
      <c r="A1164" s="55" t="s">
        <v>1934</v>
      </c>
      <c r="B1164" s="38">
        <v>3.84</v>
      </c>
      <c r="C1164" s="38">
        <v>3.7639999999999998</v>
      </c>
      <c r="D1164" s="38">
        <v>3.742</v>
      </c>
      <c r="E1164" s="38">
        <v>4.0170000000000003</v>
      </c>
    </row>
    <row r="1165" spans="1:5">
      <c r="A1165" s="55" t="s">
        <v>1935</v>
      </c>
      <c r="B1165" s="38">
        <v>3.8559999999999999</v>
      </c>
      <c r="C1165" s="38">
        <v>3.778</v>
      </c>
      <c r="D1165" s="38">
        <v>3.782</v>
      </c>
      <c r="E1165" s="38">
        <v>4.0960000000000001</v>
      </c>
    </row>
    <row r="1166" spans="1:5">
      <c r="A1166" s="55" t="s">
        <v>1936</v>
      </c>
      <c r="B1166" s="38">
        <v>3.9420000000000002</v>
      </c>
      <c r="C1166" s="38">
        <v>3.8780000000000001</v>
      </c>
      <c r="D1166" s="38">
        <v>3.89</v>
      </c>
      <c r="E1166" s="38">
        <v>4.1849999999999996</v>
      </c>
    </row>
    <row r="1167" spans="1:5">
      <c r="A1167" s="55" t="s">
        <v>1937</v>
      </c>
      <c r="B1167" s="38">
        <v>3.89</v>
      </c>
      <c r="C1167" s="38">
        <v>3.827</v>
      </c>
      <c r="D1167" s="38">
        <v>3.831</v>
      </c>
      <c r="E1167" s="38">
        <v>4.1219999999999999</v>
      </c>
    </row>
    <row r="1168" spans="1:5">
      <c r="A1168" s="55" t="s">
        <v>1938</v>
      </c>
      <c r="B1168" s="38">
        <v>3.8090000000000002</v>
      </c>
      <c r="C1168" s="38">
        <v>3.73</v>
      </c>
      <c r="D1168" s="38">
        <v>3.7450000000000001</v>
      </c>
      <c r="E1168" s="38">
        <v>4.0060000000000002</v>
      </c>
    </row>
    <row r="1169" spans="1:5">
      <c r="A1169" s="55" t="s">
        <v>1939</v>
      </c>
      <c r="B1169" s="38">
        <v>3.8079999999999998</v>
      </c>
      <c r="C1169" s="38">
        <v>3.7309999999999999</v>
      </c>
      <c r="D1169" s="38">
        <v>3.7320000000000002</v>
      </c>
      <c r="E1169" s="38">
        <v>3.9870000000000001</v>
      </c>
    </row>
    <row r="1170" spans="1:5">
      <c r="A1170" s="55" t="s">
        <v>1940</v>
      </c>
      <c r="B1170" s="38">
        <v>3.8490000000000002</v>
      </c>
      <c r="C1170" s="38">
        <v>3.7749999999999999</v>
      </c>
      <c r="D1170" s="38">
        <v>3.7789999999999999</v>
      </c>
      <c r="E1170" s="38">
        <v>4.0359999999999996</v>
      </c>
    </row>
    <row r="1171" spans="1:5">
      <c r="A1171" s="55" t="s">
        <v>1941</v>
      </c>
      <c r="B1171" s="38">
        <v>3.8889999999999998</v>
      </c>
      <c r="C1171" s="38">
        <v>3.8250000000000002</v>
      </c>
      <c r="D1171" s="38">
        <v>3.8370000000000002</v>
      </c>
      <c r="E1171" s="38">
        <v>4.101</v>
      </c>
    </row>
    <row r="1172" spans="1:5">
      <c r="A1172" s="55" t="s">
        <v>1942</v>
      </c>
      <c r="B1172" s="38">
        <v>3.9630000000000001</v>
      </c>
      <c r="C1172" s="38">
        <v>3.903</v>
      </c>
      <c r="D1172" s="38">
        <v>3.9209999999999998</v>
      </c>
      <c r="E1172" s="38">
        <v>4.1849999999999996</v>
      </c>
    </row>
    <row r="1173" spans="1:5">
      <c r="A1173" s="55" t="s">
        <v>1943</v>
      </c>
      <c r="B1173" s="38">
        <v>4.0069999999999997</v>
      </c>
      <c r="C1173" s="38">
        <v>3.96</v>
      </c>
      <c r="D1173" s="38">
        <v>3.9849999999999999</v>
      </c>
      <c r="E1173" s="38">
        <v>4.25</v>
      </c>
    </row>
    <row r="1174" spans="1:5">
      <c r="A1174" s="55" t="s">
        <v>1944</v>
      </c>
      <c r="B1174" s="38">
        <v>3.9620000000000002</v>
      </c>
      <c r="C1174" s="38">
        <v>3.911</v>
      </c>
      <c r="D1174" s="38">
        <v>3.9369999999999998</v>
      </c>
      <c r="E1174" s="38">
        <v>4.2</v>
      </c>
    </row>
    <row r="1175" spans="1:5">
      <c r="A1175" s="55" t="s">
        <v>1945</v>
      </c>
      <c r="B1175" s="38">
        <v>4.0110000000000001</v>
      </c>
      <c r="C1175" s="38">
        <v>3.9689999999999999</v>
      </c>
      <c r="D1175" s="38">
        <v>4.0149999999999997</v>
      </c>
      <c r="E1175" s="38">
        <v>4.3120000000000003</v>
      </c>
    </row>
    <row r="1176" spans="1:5">
      <c r="A1176" s="55" t="s">
        <v>1946</v>
      </c>
      <c r="B1176" s="38">
        <v>3.9359999999999999</v>
      </c>
      <c r="C1176" s="38">
        <v>3.8889999999999998</v>
      </c>
      <c r="D1176" s="38">
        <v>3.9359999999999999</v>
      </c>
      <c r="E1176" s="38">
        <v>4.2229999999999999</v>
      </c>
    </row>
    <row r="1177" spans="1:5">
      <c r="A1177" s="55" t="s">
        <v>1947</v>
      </c>
      <c r="B1177" s="38">
        <v>3.9409999999999998</v>
      </c>
      <c r="C1177" s="38">
        <v>3.8980000000000001</v>
      </c>
      <c r="D1177" s="38">
        <v>3.952</v>
      </c>
      <c r="E1177" s="38">
        <v>4.2539999999999996</v>
      </c>
    </row>
    <row r="1178" spans="1:5">
      <c r="A1178" s="55" t="s">
        <v>1948</v>
      </c>
      <c r="B1178" s="38">
        <v>3.9390000000000001</v>
      </c>
      <c r="C1178" s="38">
        <v>3.9060000000000001</v>
      </c>
      <c r="D1178" s="38">
        <v>3.964</v>
      </c>
      <c r="E1178" s="38">
        <v>4.26</v>
      </c>
    </row>
    <row r="1179" spans="1:5">
      <c r="A1179" s="55" t="s">
        <v>1949</v>
      </c>
      <c r="B1179" s="38">
        <v>3.8959999999999999</v>
      </c>
      <c r="C1179" s="38">
        <v>3.8660000000000001</v>
      </c>
      <c r="D1179" s="38">
        <v>3.9159999999999999</v>
      </c>
      <c r="E1179" s="38">
        <v>4.1849999999999996</v>
      </c>
    </row>
    <row r="1180" spans="1:5">
      <c r="A1180" s="55" t="s">
        <v>1950</v>
      </c>
      <c r="B1180" s="38">
        <v>3.843</v>
      </c>
      <c r="C1180" s="38">
        <v>3.8090000000000002</v>
      </c>
      <c r="D1180" s="38">
        <v>3.8420000000000001</v>
      </c>
      <c r="E1180" s="38">
        <v>4.1059999999999999</v>
      </c>
    </row>
    <row r="1181" spans="1:5">
      <c r="A1181" s="55" t="s">
        <v>1951</v>
      </c>
      <c r="B1181" s="38">
        <v>3.8929999999999998</v>
      </c>
      <c r="C1181" s="38">
        <v>3.8490000000000002</v>
      </c>
      <c r="D1181" s="38">
        <v>3.89</v>
      </c>
      <c r="E1181" s="38">
        <v>4.1509999999999998</v>
      </c>
    </row>
    <row r="1182" spans="1:5">
      <c r="A1182" s="55" t="s">
        <v>1952</v>
      </c>
      <c r="B1182" s="38">
        <v>3.919</v>
      </c>
      <c r="C1182" s="38">
        <v>3.8580000000000001</v>
      </c>
      <c r="D1182" s="38">
        <v>3.8929999999999998</v>
      </c>
      <c r="E1182" s="38">
        <v>4.1319999999999997</v>
      </c>
    </row>
    <row r="1183" spans="1:5">
      <c r="A1183" s="55" t="s">
        <v>1953</v>
      </c>
      <c r="B1183" s="38">
        <v>3.9089999999999998</v>
      </c>
      <c r="C1183" s="38">
        <v>3.8210000000000002</v>
      </c>
      <c r="D1183" s="38">
        <v>3.8540000000000001</v>
      </c>
      <c r="E1183" s="38">
        <v>4.0910000000000002</v>
      </c>
    </row>
    <row r="1184" spans="1:5">
      <c r="A1184" s="55" t="s">
        <v>1954</v>
      </c>
      <c r="B1184" s="38">
        <v>3.8639999999999999</v>
      </c>
      <c r="C1184" s="38">
        <v>3.7829999999999999</v>
      </c>
      <c r="D1184" s="38">
        <v>3.819</v>
      </c>
      <c r="E1184" s="38">
        <v>4.0629999999999997</v>
      </c>
    </row>
    <row r="1185" spans="1:5">
      <c r="A1185" s="55" t="s">
        <v>1955</v>
      </c>
      <c r="B1185" s="38">
        <v>3.8210000000000002</v>
      </c>
      <c r="C1185" s="38">
        <v>3.7349999999999999</v>
      </c>
      <c r="D1185" s="38">
        <v>3.7629999999999999</v>
      </c>
      <c r="E1185" s="38">
        <v>4.0179999999999998</v>
      </c>
    </row>
    <row r="1186" spans="1:5">
      <c r="A1186" s="55" t="s">
        <v>1956</v>
      </c>
      <c r="B1186" s="38">
        <v>3.81</v>
      </c>
      <c r="C1186" s="38">
        <v>3.7269999999999999</v>
      </c>
      <c r="D1186" s="38">
        <v>3.75</v>
      </c>
      <c r="E1186" s="38">
        <v>3.9980000000000002</v>
      </c>
    </row>
    <row r="1187" spans="1:5">
      <c r="A1187" s="55" t="s">
        <v>1957</v>
      </c>
      <c r="B1187" s="38">
        <v>3.85</v>
      </c>
      <c r="C1187" s="38">
        <v>3.794</v>
      </c>
      <c r="D1187" s="38">
        <v>3.827</v>
      </c>
      <c r="E1187" s="38">
        <v>4.0830000000000002</v>
      </c>
    </row>
    <row r="1188" spans="1:5">
      <c r="A1188" s="55" t="s">
        <v>1958</v>
      </c>
      <c r="B1188" s="38">
        <v>3.851</v>
      </c>
      <c r="C1188" s="38">
        <v>3.8029999999999999</v>
      </c>
      <c r="D1188" s="38">
        <v>3.84</v>
      </c>
      <c r="E1188" s="38">
        <v>4.1269999999999998</v>
      </c>
    </row>
    <row r="1189" spans="1:5">
      <c r="A1189" s="55" t="s">
        <v>1959</v>
      </c>
      <c r="B1189" s="38">
        <v>3.84</v>
      </c>
      <c r="C1189" s="38">
        <v>3.7919999999999998</v>
      </c>
      <c r="D1189" s="38">
        <v>3.8319999999999999</v>
      </c>
      <c r="E1189" s="38">
        <v>4.1219999999999999</v>
      </c>
    </row>
    <row r="1190" spans="1:5">
      <c r="A1190" s="55" t="s">
        <v>1960</v>
      </c>
      <c r="B1190" s="38">
        <v>3.883</v>
      </c>
      <c r="C1190" s="38">
        <v>3.8410000000000002</v>
      </c>
      <c r="D1190" s="38">
        <v>3.8740000000000001</v>
      </c>
      <c r="E1190" s="38">
        <v>4.1520000000000001</v>
      </c>
    </row>
    <row r="1191" spans="1:5">
      <c r="A1191" s="55" t="s">
        <v>1961</v>
      </c>
      <c r="B1191" s="38">
        <v>3.8359999999999999</v>
      </c>
      <c r="C1191" s="38">
        <v>3.7810000000000001</v>
      </c>
      <c r="D1191" s="38">
        <v>3.806</v>
      </c>
      <c r="E1191" s="38">
        <v>4.077</v>
      </c>
    </row>
    <row r="1192" spans="1:5">
      <c r="A1192" s="55" t="s">
        <v>1962</v>
      </c>
      <c r="B1192" s="38">
        <v>3.8730000000000002</v>
      </c>
      <c r="C1192" s="38">
        <v>3.8319999999999999</v>
      </c>
      <c r="D1192" s="38">
        <v>3.8639999999999999</v>
      </c>
      <c r="E1192" s="38">
        <v>4.1539999999999999</v>
      </c>
    </row>
    <row r="1193" spans="1:5">
      <c r="A1193" s="55" t="s">
        <v>1963</v>
      </c>
      <c r="B1193" s="38">
        <v>3.8759999999999999</v>
      </c>
      <c r="C1193" s="38">
        <v>3.843</v>
      </c>
      <c r="D1193" s="38">
        <v>3.8740000000000001</v>
      </c>
      <c r="E1193" s="38">
        <v>4.1609999999999996</v>
      </c>
    </row>
    <row r="1194" spans="1:5">
      <c r="A1194" s="55" t="s">
        <v>1964</v>
      </c>
      <c r="B1194" s="38">
        <v>3.883</v>
      </c>
      <c r="C1194" s="38">
        <v>3.8519999999999999</v>
      </c>
      <c r="D1194" s="38">
        <v>3.8780000000000001</v>
      </c>
      <c r="E1194" s="38">
        <v>4.1429999999999998</v>
      </c>
    </row>
    <row r="1195" spans="1:5">
      <c r="A1195" s="55" t="s">
        <v>1965</v>
      </c>
      <c r="B1195" s="38">
        <v>3.8740000000000001</v>
      </c>
      <c r="C1195" s="38">
        <v>3.8279999999999998</v>
      </c>
      <c r="D1195" s="38">
        <v>3.85</v>
      </c>
      <c r="E1195" s="38">
        <v>4.109</v>
      </c>
    </row>
    <row r="1196" spans="1:5">
      <c r="A1196" s="55" t="s">
        <v>1966</v>
      </c>
      <c r="B1196" s="38">
        <v>3.8690000000000002</v>
      </c>
      <c r="C1196" s="38">
        <v>3.8319999999999999</v>
      </c>
      <c r="D1196" s="38">
        <v>3.85</v>
      </c>
      <c r="E1196" s="38">
        <v>4.0979999999999999</v>
      </c>
    </row>
    <row r="1197" spans="1:5">
      <c r="A1197" s="55" t="s">
        <v>1967</v>
      </c>
      <c r="B1197" s="38">
        <v>3.9350000000000001</v>
      </c>
      <c r="C1197" s="38">
        <v>3.9060000000000001</v>
      </c>
      <c r="D1197" s="38">
        <v>3.9329999999999998</v>
      </c>
      <c r="E1197" s="38">
        <v>4.2069999999999999</v>
      </c>
    </row>
    <row r="1198" spans="1:5">
      <c r="A1198" s="55" t="s">
        <v>1968</v>
      </c>
      <c r="B1198" s="38">
        <v>3.92</v>
      </c>
      <c r="C1198" s="38">
        <v>3.8849999999999998</v>
      </c>
      <c r="D1198" s="38">
        <v>3.9089999999999998</v>
      </c>
      <c r="E1198" s="38">
        <v>4.1609999999999996</v>
      </c>
    </row>
    <row r="1199" spans="1:5">
      <c r="A1199" s="55" t="s">
        <v>1969</v>
      </c>
      <c r="B1199" s="38">
        <v>3.9729999999999999</v>
      </c>
      <c r="C1199" s="38">
        <v>3.9380000000000002</v>
      </c>
      <c r="D1199" s="38">
        <v>3.964</v>
      </c>
      <c r="E1199" s="38">
        <v>4.2110000000000003</v>
      </c>
    </row>
    <row r="1200" spans="1:5">
      <c r="A1200" s="55" t="s">
        <v>1970</v>
      </c>
      <c r="B1200" s="38">
        <v>4.069</v>
      </c>
      <c r="C1200" s="38">
        <v>4.0410000000000004</v>
      </c>
      <c r="D1200" s="38">
        <v>4.0609999999999999</v>
      </c>
      <c r="E1200" s="38">
        <v>4.2949999999999999</v>
      </c>
    </row>
    <row r="1201" spans="1:5">
      <c r="A1201" s="55" t="s">
        <v>1971</v>
      </c>
      <c r="B1201" s="38">
        <v>4.0590000000000002</v>
      </c>
      <c r="C1201" s="38">
        <v>4.0289999999999999</v>
      </c>
      <c r="D1201" s="38">
        <v>4.0620000000000003</v>
      </c>
      <c r="E1201" s="38">
        <v>4.3319999999999999</v>
      </c>
    </row>
    <row r="1202" spans="1:5">
      <c r="A1202" s="55" t="s">
        <v>1972</v>
      </c>
      <c r="B1202" s="38">
        <v>4.0339999999999998</v>
      </c>
      <c r="C1202" s="38">
        <v>4</v>
      </c>
      <c r="D1202" s="38">
        <v>4.0330000000000004</v>
      </c>
      <c r="E1202" s="38">
        <v>4.3070000000000004</v>
      </c>
    </row>
    <row r="1203" spans="1:5">
      <c r="A1203" s="55" t="s">
        <v>1973</v>
      </c>
      <c r="B1203" s="38">
        <v>4.0759999999999996</v>
      </c>
      <c r="C1203" s="38">
        <v>4.056</v>
      </c>
      <c r="D1203" s="38">
        <v>4.0949999999999998</v>
      </c>
      <c r="E1203" s="38">
        <v>4.3940000000000001</v>
      </c>
    </row>
    <row r="1204" spans="1:5">
      <c r="A1204" s="55" t="s">
        <v>1974</v>
      </c>
      <c r="B1204" s="38">
        <v>4.0469999999999997</v>
      </c>
      <c r="C1204" s="38">
        <v>4.0350000000000001</v>
      </c>
      <c r="D1204" s="38">
        <v>4.07</v>
      </c>
      <c r="E1204" s="38">
        <v>4.37</v>
      </c>
    </row>
    <row r="1205" spans="1:5">
      <c r="A1205" s="55" t="s">
        <v>1975</v>
      </c>
      <c r="B1205" s="38">
        <v>4.1040000000000001</v>
      </c>
      <c r="C1205" s="38">
        <v>4.1040000000000001</v>
      </c>
      <c r="D1205" s="38">
        <v>4.141</v>
      </c>
      <c r="E1205" s="38">
        <v>4.4489999999999998</v>
      </c>
    </row>
    <row r="1206" spans="1:5">
      <c r="A1206" s="55" t="s">
        <v>1976</v>
      </c>
      <c r="B1206" s="38">
        <v>4.0830000000000002</v>
      </c>
      <c r="C1206" s="38">
        <v>4.0780000000000003</v>
      </c>
      <c r="D1206" s="38">
        <v>4.1269999999999998</v>
      </c>
      <c r="E1206" s="38">
        <v>4.4790000000000001</v>
      </c>
    </row>
    <row r="1207" spans="1:5">
      <c r="A1207" s="55" t="s">
        <v>1977</v>
      </c>
      <c r="B1207" s="38">
        <v>4.0990000000000002</v>
      </c>
      <c r="C1207" s="38">
        <v>4.0839999999999996</v>
      </c>
      <c r="D1207" s="38">
        <v>4.149</v>
      </c>
      <c r="E1207" s="38">
        <v>4.5309999999999997</v>
      </c>
    </row>
    <row r="1208" spans="1:5">
      <c r="A1208" s="55" t="s">
        <v>1978</v>
      </c>
      <c r="B1208" s="38">
        <v>4.1440000000000001</v>
      </c>
      <c r="C1208" s="38">
        <v>4.1349999999999998</v>
      </c>
      <c r="D1208" s="38">
        <v>4.2290000000000001</v>
      </c>
      <c r="E1208" s="38">
        <v>4.6520000000000001</v>
      </c>
    </row>
    <row r="1209" spans="1:5">
      <c r="A1209" s="55" t="s">
        <v>1979</v>
      </c>
      <c r="B1209" s="38">
        <v>4.0599999999999996</v>
      </c>
      <c r="C1209" s="38">
        <v>4.0330000000000004</v>
      </c>
      <c r="D1209" s="38">
        <v>4.1289999999999996</v>
      </c>
      <c r="E1209" s="38">
        <v>4.5620000000000003</v>
      </c>
    </row>
    <row r="1210" spans="1:5">
      <c r="A1210" s="55" t="s">
        <v>1980</v>
      </c>
      <c r="B1210" s="38">
        <v>4.0229999999999997</v>
      </c>
      <c r="C1210" s="38">
        <v>3.996</v>
      </c>
      <c r="D1210" s="38">
        <v>4.0970000000000004</v>
      </c>
      <c r="E1210" s="38">
        <v>4.5339999999999998</v>
      </c>
    </row>
    <row r="1211" spans="1:5">
      <c r="A1211" s="55" t="s">
        <v>1981</v>
      </c>
      <c r="B1211" s="38">
        <v>3.9820000000000002</v>
      </c>
      <c r="C1211" s="38">
        <v>3.9470000000000001</v>
      </c>
      <c r="D1211" s="38">
        <v>4.0590000000000002</v>
      </c>
      <c r="E1211" s="38">
        <v>4.5119999999999996</v>
      </c>
    </row>
    <row r="1212" spans="1:5">
      <c r="A1212" s="55" t="s">
        <v>1982</v>
      </c>
      <c r="B1212" s="38">
        <v>3.9540000000000002</v>
      </c>
      <c r="C1212" s="38">
        <v>3.9209999999999998</v>
      </c>
      <c r="D1212" s="38">
        <v>4.024</v>
      </c>
      <c r="E1212" s="38">
        <v>4.4489999999999998</v>
      </c>
    </row>
    <row r="1213" spans="1:5">
      <c r="A1213" s="55" t="s">
        <v>1983</v>
      </c>
      <c r="B1213" s="38">
        <v>4.0060000000000002</v>
      </c>
      <c r="C1213" s="38">
        <v>3.9350000000000001</v>
      </c>
      <c r="D1213" s="38">
        <v>4.0309999999999997</v>
      </c>
      <c r="E1213" s="38">
        <v>4.4210000000000003</v>
      </c>
    </row>
    <row r="1214" spans="1:5">
      <c r="A1214" s="55" t="s">
        <v>1984</v>
      </c>
      <c r="B1214" s="38">
        <v>3.996</v>
      </c>
      <c r="C1214" s="38">
        <v>3.9060000000000001</v>
      </c>
      <c r="D1214" s="38">
        <v>3.9969999999999999</v>
      </c>
      <c r="E1214" s="38">
        <v>4.3639999999999999</v>
      </c>
    </row>
    <row r="1215" spans="1:5">
      <c r="A1215" s="55" t="s">
        <v>1985</v>
      </c>
      <c r="B1215" s="38">
        <v>4.0490000000000004</v>
      </c>
      <c r="C1215" s="38">
        <v>3.944</v>
      </c>
      <c r="D1215" s="38">
        <v>4.0490000000000004</v>
      </c>
      <c r="E1215" s="38">
        <v>4.4580000000000002</v>
      </c>
    </row>
    <row r="1216" spans="1:5">
      <c r="A1216" s="55" t="s">
        <v>1986</v>
      </c>
      <c r="B1216" s="38">
        <v>4.0540000000000003</v>
      </c>
      <c r="C1216" s="38">
        <v>3.9510000000000001</v>
      </c>
      <c r="D1216" s="38">
        <v>4.0570000000000004</v>
      </c>
      <c r="E1216" s="38">
        <v>4.4509999999999996</v>
      </c>
    </row>
    <row r="1217" spans="1:5">
      <c r="A1217" s="55" t="s">
        <v>1987</v>
      </c>
      <c r="B1217" s="38">
        <v>4.1870000000000003</v>
      </c>
      <c r="C1217" s="38">
        <v>4.0880000000000001</v>
      </c>
      <c r="D1217" s="38">
        <v>4.1849999999999996</v>
      </c>
      <c r="E1217" s="38">
        <v>4.5419999999999998</v>
      </c>
    </row>
    <row r="1218" spans="1:5">
      <c r="A1218" s="55" t="s">
        <v>1988</v>
      </c>
      <c r="B1218" s="38">
        <v>4.2750000000000004</v>
      </c>
      <c r="C1218" s="38">
        <v>4.1689999999999996</v>
      </c>
      <c r="D1218" s="38">
        <v>4.2750000000000004</v>
      </c>
      <c r="E1218" s="38">
        <v>4.6440000000000001</v>
      </c>
    </row>
    <row r="1219" spans="1:5">
      <c r="A1219" s="55" t="s">
        <v>1989</v>
      </c>
      <c r="B1219" s="38">
        <v>4.3159999999999998</v>
      </c>
      <c r="C1219" s="38">
        <v>4.234</v>
      </c>
      <c r="D1219" s="38">
        <v>4.3680000000000003</v>
      </c>
      <c r="E1219" s="38">
        <v>4.7779999999999996</v>
      </c>
    </row>
    <row r="1220" spans="1:5">
      <c r="A1220" s="55" t="s">
        <v>1990</v>
      </c>
      <c r="B1220" s="38">
        <v>4.2910000000000004</v>
      </c>
      <c r="C1220" s="38">
        <v>4.2039999999999997</v>
      </c>
      <c r="D1220" s="38">
        <v>4.3440000000000003</v>
      </c>
      <c r="E1220" s="38">
        <v>4.742</v>
      </c>
    </row>
    <row r="1221" spans="1:5">
      <c r="A1221" s="55" t="s">
        <v>1991</v>
      </c>
      <c r="B1221" s="38">
        <v>4.2930000000000001</v>
      </c>
      <c r="C1221" s="38">
        <v>4.2140000000000004</v>
      </c>
      <c r="D1221" s="38">
        <v>4.3620000000000001</v>
      </c>
      <c r="E1221" s="38">
        <v>4.7779999999999996</v>
      </c>
    </row>
    <row r="1222" spans="1:5">
      <c r="A1222" s="55" t="s">
        <v>1992</v>
      </c>
      <c r="B1222" s="38">
        <v>4.2249999999999996</v>
      </c>
      <c r="C1222" s="38">
        <v>4.1470000000000002</v>
      </c>
      <c r="D1222" s="38">
        <v>4.2869999999999999</v>
      </c>
      <c r="E1222" s="38">
        <v>4.6849999999999996</v>
      </c>
    </row>
    <row r="1223" spans="1:5">
      <c r="A1223" s="55" t="s">
        <v>1993</v>
      </c>
      <c r="B1223" s="38">
        <v>4.3449999999999998</v>
      </c>
      <c r="C1223" s="38">
        <v>4.2460000000000004</v>
      </c>
      <c r="D1223" s="38">
        <v>4.3639999999999999</v>
      </c>
      <c r="E1223" s="38">
        <v>4.7149999999999999</v>
      </c>
    </row>
    <row r="1224" spans="1:5">
      <c r="A1224" s="55" t="s">
        <v>1994</v>
      </c>
      <c r="B1224" s="38">
        <v>4.4050000000000002</v>
      </c>
      <c r="C1224" s="38">
        <v>4.3339999999999996</v>
      </c>
      <c r="D1224" s="38">
        <v>4.47</v>
      </c>
      <c r="E1224" s="38">
        <v>4.8689999999999998</v>
      </c>
    </row>
    <row r="1225" spans="1:5">
      <c r="A1225" s="55" t="s">
        <v>1995</v>
      </c>
      <c r="B1225" s="38">
        <v>4.3860000000000001</v>
      </c>
      <c r="C1225" s="38">
        <v>4.3129999999999997</v>
      </c>
      <c r="D1225" s="38">
        <v>4.4370000000000003</v>
      </c>
      <c r="E1225" s="38">
        <v>4.8090000000000002</v>
      </c>
    </row>
    <row r="1226" spans="1:5">
      <c r="A1226" s="55" t="s">
        <v>1996</v>
      </c>
      <c r="B1226" s="38">
        <v>4.4390000000000001</v>
      </c>
      <c r="C1226" s="38">
        <v>4.3630000000000004</v>
      </c>
      <c r="D1226" s="38">
        <v>4.4870000000000001</v>
      </c>
      <c r="E1226" s="38">
        <v>4.8689999999999998</v>
      </c>
    </row>
    <row r="1227" spans="1:5">
      <c r="A1227" s="55" t="s">
        <v>1997</v>
      </c>
      <c r="B1227" s="38">
        <v>4.468</v>
      </c>
      <c r="C1227" s="38">
        <v>4.4029999999999996</v>
      </c>
      <c r="D1227" s="38">
        <v>4.53</v>
      </c>
      <c r="E1227" s="38">
        <v>4.9240000000000004</v>
      </c>
    </row>
    <row r="1228" spans="1:5">
      <c r="A1228" s="55" t="s">
        <v>1998</v>
      </c>
      <c r="B1228" s="38">
        <v>4.4669999999999996</v>
      </c>
      <c r="C1228" s="38">
        <v>4.4109999999999996</v>
      </c>
      <c r="D1228" s="38">
        <v>4.5369999999999999</v>
      </c>
      <c r="E1228" s="38">
        <v>4.9420000000000002</v>
      </c>
    </row>
    <row r="1229" spans="1:5">
      <c r="A1229" s="55" t="s">
        <v>1999</v>
      </c>
      <c r="B1229" s="38">
        <v>4.3710000000000004</v>
      </c>
      <c r="C1229" s="38">
        <v>4.306</v>
      </c>
      <c r="D1229" s="38">
        <v>4.4119999999999999</v>
      </c>
      <c r="E1229" s="38">
        <v>4.7859999999999996</v>
      </c>
    </row>
    <row r="1230" spans="1:5">
      <c r="A1230" s="55" t="s">
        <v>2000</v>
      </c>
      <c r="B1230" s="38">
        <v>4.3499999999999996</v>
      </c>
      <c r="C1230" s="38">
        <v>4.2770000000000001</v>
      </c>
      <c r="D1230" s="38">
        <v>4.3689999999999998</v>
      </c>
      <c r="E1230" s="38">
        <v>4.718</v>
      </c>
    </row>
    <row r="1231" spans="1:5">
      <c r="A1231" s="55" t="s">
        <v>2001</v>
      </c>
      <c r="B1231" s="38">
        <v>4.3419999999999996</v>
      </c>
      <c r="C1231" s="38">
        <v>4.2690000000000001</v>
      </c>
      <c r="D1231" s="38">
        <v>4.3620000000000001</v>
      </c>
      <c r="E1231" s="38">
        <v>4.718</v>
      </c>
    </row>
    <row r="1232" spans="1:5">
      <c r="A1232" s="55" t="s">
        <v>2002</v>
      </c>
      <c r="B1232" s="38">
        <v>4.3079999999999998</v>
      </c>
      <c r="C1232" s="38">
        <v>4.2430000000000003</v>
      </c>
      <c r="D1232" s="38">
        <v>4.335</v>
      </c>
      <c r="E1232" s="38">
        <v>4.6900000000000004</v>
      </c>
    </row>
    <row r="1233" spans="1:5">
      <c r="A1233" s="55" t="s">
        <v>2003</v>
      </c>
      <c r="B1233" s="38">
        <v>4.2279999999999998</v>
      </c>
      <c r="C1233" s="38">
        <v>4.1559999999999997</v>
      </c>
      <c r="D1233" s="38">
        <v>4.24</v>
      </c>
      <c r="E1233" s="38">
        <v>4.5789999999999997</v>
      </c>
    </row>
    <row r="1234" spans="1:5">
      <c r="A1234" s="55" t="s">
        <v>2004</v>
      </c>
      <c r="B1234" s="38">
        <v>4.2300000000000004</v>
      </c>
      <c r="C1234" s="38">
        <v>4.1589999999999998</v>
      </c>
      <c r="D1234" s="38">
        <v>4.218</v>
      </c>
      <c r="E1234" s="38">
        <v>4.5279999999999996</v>
      </c>
    </row>
    <row r="1235" spans="1:5">
      <c r="A1235" s="55" t="s">
        <v>2005</v>
      </c>
      <c r="B1235" s="38">
        <v>4.3</v>
      </c>
      <c r="C1235" s="38">
        <v>4.2389999999999999</v>
      </c>
      <c r="D1235" s="38">
        <v>4.3029999999999999</v>
      </c>
      <c r="E1235" s="38">
        <v>4.6180000000000003</v>
      </c>
    </row>
    <row r="1236" spans="1:5">
      <c r="A1236" s="55" t="s">
        <v>2006</v>
      </c>
      <c r="B1236" s="38">
        <v>4.3460000000000001</v>
      </c>
      <c r="C1236" s="38">
        <v>4.2859999999999996</v>
      </c>
      <c r="D1236" s="38">
        <v>4.3520000000000003</v>
      </c>
      <c r="E1236" s="38">
        <v>4.6660000000000004</v>
      </c>
    </row>
    <row r="1237" spans="1:5">
      <c r="A1237" s="55" t="s">
        <v>2007</v>
      </c>
      <c r="B1237" s="38">
        <v>4.3470000000000004</v>
      </c>
      <c r="C1237" s="38">
        <v>4.2869999999999999</v>
      </c>
      <c r="D1237" s="38">
        <v>4.351</v>
      </c>
      <c r="E1237" s="38">
        <v>4.6609999999999996</v>
      </c>
    </row>
    <row r="1238" spans="1:5">
      <c r="A1238" s="55" t="s">
        <v>2008</v>
      </c>
      <c r="B1238" s="38">
        <v>4.2409999999999997</v>
      </c>
      <c r="C1238" s="38">
        <v>4.1719999999999997</v>
      </c>
      <c r="D1238" s="38">
        <v>4.2270000000000003</v>
      </c>
      <c r="E1238" s="38">
        <v>4.53</v>
      </c>
    </row>
    <row r="1239" spans="1:5">
      <c r="A1239" s="55" t="s">
        <v>2009</v>
      </c>
      <c r="B1239" s="38">
        <v>4.234</v>
      </c>
      <c r="C1239" s="38">
        <v>4.1719999999999997</v>
      </c>
      <c r="D1239" s="38">
        <v>4.2309999999999999</v>
      </c>
      <c r="E1239" s="38">
        <v>4.55</v>
      </c>
    </row>
    <row r="1240" spans="1:5">
      <c r="A1240" s="55" t="s">
        <v>2010</v>
      </c>
      <c r="B1240" s="38">
        <v>4.16</v>
      </c>
      <c r="C1240" s="38">
        <v>4.0860000000000003</v>
      </c>
      <c r="D1240" s="38">
        <v>4.141</v>
      </c>
      <c r="E1240" s="38">
        <v>4.4649999999999999</v>
      </c>
    </row>
    <row r="1241" spans="1:5">
      <c r="A1241" s="55" t="s">
        <v>2011</v>
      </c>
      <c r="B1241" s="38">
        <v>4.1890000000000001</v>
      </c>
      <c r="C1241" s="38">
        <v>4.1239999999999997</v>
      </c>
      <c r="D1241" s="38">
        <v>4.181</v>
      </c>
      <c r="E1241" s="38">
        <v>4.5060000000000002</v>
      </c>
    </row>
    <row r="1242" spans="1:5">
      <c r="A1242" s="55" t="s">
        <v>2012</v>
      </c>
      <c r="B1242" s="38">
        <v>4.1589999999999998</v>
      </c>
      <c r="C1242" s="38">
        <v>4.0940000000000003</v>
      </c>
      <c r="D1242" s="38">
        <v>4.1420000000000003</v>
      </c>
      <c r="E1242" s="38">
        <v>4.4470000000000001</v>
      </c>
    </row>
    <row r="1243" spans="1:5">
      <c r="A1243" s="55" t="s">
        <v>2013</v>
      </c>
      <c r="B1243" s="38">
        <v>4.1520000000000001</v>
      </c>
      <c r="C1243" s="38">
        <v>4.0839999999999996</v>
      </c>
      <c r="D1243" s="38">
        <v>4.1369999999999996</v>
      </c>
      <c r="E1243" s="38">
        <v>4.4459999999999997</v>
      </c>
    </row>
    <row r="1244" spans="1:5">
      <c r="A1244" s="55" t="s">
        <v>2014</v>
      </c>
      <c r="B1244" s="38">
        <v>4.2050000000000001</v>
      </c>
      <c r="C1244" s="38">
        <v>4.1399999999999997</v>
      </c>
      <c r="D1244" s="38">
        <v>4.1879999999999997</v>
      </c>
      <c r="E1244" s="38">
        <v>4.4809999999999999</v>
      </c>
    </row>
    <row r="1245" spans="1:5">
      <c r="A1245" s="55" t="s">
        <v>2015</v>
      </c>
      <c r="B1245" s="38">
        <v>4.25</v>
      </c>
      <c r="C1245" s="38">
        <v>4.1900000000000004</v>
      </c>
      <c r="D1245" s="38">
        <v>4.24</v>
      </c>
      <c r="E1245" s="38">
        <v>4.5449999999999999</v>
      </c>
    </row>
    <row r="1246" spans="1:5">
      <c r="A1246" s="55" t="s">
        <v>2016</v>
      </c>
      <c r="B1246" s="38">
        <v>4.274</v>
      </c>
      <c r="C1246" s="38">
        <v>4.2169999999999996</v>
      </c>
      <c r="D1246" s="38">
        <v>4.2679999999999998</v>
      </c>
      <c r="E1246" s="38">
        <v>4.5640000000000001</v>
      </c>
    </row>
    <row r="1247" spans="1:5">
      <c r="A1247" s="55" t="s">
        <v>2017</v>
      </c>
      <c r="B1247" s="38">
        <v>4.2270000000000003</v>
      </c>
      <c r="C1247" s="38">
        <v>4.1580000000000004</v>
      </c>
      <c r="D1247" s="38">
        <v>4.2069999999999999</v>
      </c>
      <c r="E1247" s="38">
        <v>4.4950000000000001</v>
      </c>
    </row>
    <row r="1248" spans="1:5">
      <c r="A1248" s="55" t="s">
        <v>2018</v>
      </c>
      <c r="B1248" s="38">
        <v>4.0960000000000001</v>
      </c>
      <c r="C1248" s="38">
        <v>4.0119999999999996</v>
      </c>
      <c r="D1248" s="38">
        <v>4.0609999999999999</v>
      </c>
      <c r="E1248" s="38">
        <v>4.3609999999999998</v>
      </c>
    </row>
    <row r="1249" spans="1:5">
      <c r="A1249" s="55" t="s">
        <v>2019</v>
      </c>
      <c r="B1249" s="38">
        <v>4.1029999999999998</v>
      </c>
      <c r="C1249" s="38">
        <v>4.0119999999999996</v>
      </c>
      <c r="D1249" s="38">
        <v>4.0739999999999998</v>
      </c>
      <c r="E1249" s="38">
        <v>4.4109999999999996</v>
      </c>
    </row>
    <row r="1250" spans="1:5">
      <c r="A1250" s="55" t="s">
        <v>2020</v>
      </c>
      <c r="B1250" s="38">
        <v>4.1529999999999996</v>
      </c>
      <c r="C1250" s="38">
        <v>4.07</v>
      </c>
      <c r="D1250" s="38">
        <v>4.1390000000000002</v>
      </c>
      <c r="E1250" s="38">
        <v>4.49</v>
      </c>
    </row>
    <row r="1251" spans="1:5">
      <c r="A1251" s="55" t="s">
        <v>2021</v>
      </c>
      <c r="B1251" s="38">
        <v>4.1120000000000001</v>
      </c>
      <c r="C1251" s="38">
        <v>4.0309999999999997</v>
      </c>
      <c r="D1251" s="38">
        <v>4.0999999999999996</v>
      </c>
      <c r="E1251" s="38">
        <v>4.4470000000000001</v>
      </c>
    </row>
    <row r="1252" spans="1:5">
      <c r="A1252" s="55" t="s">
        <v>2022</v>
      </c>
      <c r="B1252" s="38">
        <v>4.0730000000000004</v>
      </c>
      <c r="C1252" s="38">
        <v>3.99</v>
      </c>
      <c r="D1252" s="38">
        <v>4.056</v>
      </c>
      <c r="E1252" s="38">
        <v>4.4119999999999999</v>
      </c>
    </row>
    <row r="1253" spans="1:5">
      <c r="A1253" s="55" t="s">
        <v>2023</v>
      </c>
      <c r="B1253" s="38">
        <v>3.9740000000000002</v>
      </c>
      <c r="C1253" s="38">
        <v>3.883</v>
      </c>
      <c r="D1253" s="38">
        <v>3.9369999999999998</v>
      </c>
      <c r="E1253" s="38">
        <v>4.2830000000000004</v>
      </c>
    </row>
    <row r="1254" spans="1:5">
      <c r="A1254" s="55" t="s">
        <v>2024</v>
      </c>
      <c r="B1254" s="38">
        <v>4.01</v>
      </c>
      <c r="C1254" s="38">
        <v>3.9220000000000002</v>
      </c>
      <c r="D1254" s="38">
        <v>3.9740000000000002</v>
      </c>
      <c r="E1254" s="38">
        <v>4.3380000000000001</v>
      </c>
    </row>
    <row r="1255" spans="1:5">
      <c r="A1255" s="55" t="s">
        <v>2025</v>
      </c>
      <c r="B1255" s="38">
        <v>3.99</v>
      </c>
      <c r="C1255" s="38">
        <v>3.9020000000000001</v>
      </c>
      <c r="D1255" s="38">
        <v>3.956</v>
      </c>
      <c r="E1255" s="38">
        <v>4.2939999999999996</v>
      </c>
    </row>
    <row r="1256" spans="1:5">
      <c r="A1256" s="55" t="s">
        <v>2026</v>
      </c>
      <c r="B1256" s="38">
        <v>4.0339999999999998</v>
      </c>
      <c r="C1256" s="38">
        <v>3.952</v>
      </c>
      <c r="D1256" s="38">
        <v>4.0060000000000002</v>
      </c>
      <c r="E1256" s="38">
        <v>4.3390000000000004</v>
      </c>
    </row>
    <row r="1257" spans="1:5">
      <c r="A1257" s="55" t="s">
        <v>2027</v>
      </c>
      <c r="B1257" s="38">
        <v>4.0229999999999997</v>
      </c>
      <c r="C1257" s="38">
        <v>3.9420000000000002</v>
      </c>
      <c r="D1257" s="38">
        <v>3.996</v>
      </c>
      <c r="E1257" s="38">
        <v>4.327</v>
      </c>
    </row>
    <row r="1258" spans="1:5">
      <c r="A1258" s="55" t="s">
        <v>2028</v>
      </c>
      <c r="B1258" s="38">
        <v>4.0190000000000001</v>
      </c>
      <c r="C1258" s="38">
        <v>3.9350000000000001</v>
      </c>
      <c r="D1258" s="38">
        <v>3.9809999999999999</v>
      </c>
      <c r="E1258" s="38">
        <v>4.2869999999999999</v>
      </c>
    </row>
    <row r="1259" spans="1:5">
      <c r="A1259" s="55" t="s">
        <v>2029</v>
      </c>
      <c r="B1259" s="38">
        <v>3.8439999999999999</v>
      </c>
      <c r="C1259" s="38">
        <v>3.7480000000000002</v>
      </c>
      <c r="D1259" s="38">
        <v>3.7989999999999999</v>
      </c>
      <c r="E1259" s="38">
        <v>4.133</v>
      </c>
    </row>
    <row r="1260" spans="1:5">
      <c r="A1260" s="55" t="s">
        <v>2030</v>
      </c>
      <c r="B1260" s="38">
        <v>3.8679999999999999</v>
      </c>
      <c r="C1260" s="38">
        <v>3.782</v>
      </c>
      <c r="D1260" s="38">
        <v>3.8260000000000001</v>
      </c>
      <c r="E1260" s="38">
        <v>4.1399999999999997</v>
      </c>
    </row>
    <row r="1261" spans="1:5">
      <c r="A1261" s="55" t="s">
        <v>2031</v>
      </c>
      <c r="B1261" s="38">
        <v>3.7890000000000001</v>
      </c>
      <c r="C1261" s="38">
        <v>3.706</v>
      </c>
      <c r="D1261" s="38">
        <v>3.7360000000000002</v>
      </c>
      <c r="E1261" s="38">
        <v>4.0570000000000004</v>
      </c>
    </row>
    <row r="1262" spans="1:5">
      <c r="A1262" s="55" t="s">
        <v>2032</v>
      </c>
      <c r="B1262" s="38">
        <v>3.8380000000000001</v>
      </c>
      <c r="C1262" s="38">
        <v>3.762</v>
      </c>
      <c r="D1262" s="38">
        <v>3.7949999999999999</v>
      </c>
      <c r="E1262" s="38">
        <v>4.1109999999999998</v>
      </c>
    </row>
    <row r="1263" spans="1:5">
      <c r="A1263" s="55" t="s">
        <v>2033</v>
      </c>
      <c r="B1263" s="38">
        <v>3.7839999999999998</v>
      </c>
      <c r="C1263" s="38">
        <v>3.7040000000000002</v>
      </c>
      <c r="D1263" s="38">
        <v>3.738</v>
      </c>
      <c r="E1263" s="38">
        <v>4.0460000000000003</v>
      </c>
    </row>
    <row r="1264" spans="1:5">
      <c r="A1264" s="55" t="s">
        <v>2034</v>
      </c>
      <c r="B1264" s="38">
        <v>3.746</v>
      </c>
      <c r="C1264" s="38">
        <v>3.6659999999999999</v>
      </c>
      <c r="D1264" s="38">
        <v>3.702</v>
      </c>
      <c r="E1264" s="38">
        <v>4.0170000000000003</v>
      </c>
    </row>
    <row r="1265" spans="1:5">
      <c r="A1265" s="55" t="s">
        <v>2035</v>
      </c>
      <c r="B1265" s="38">
        <v>3.7370000000000001</v>
      </c>
      <c r="C1265" s="38">
        <v>3.6549999999999998</v>
      </c>
      <c r="D1265" s="38">
        <v>3.698</v>
      </c>
      <c r="E1265" s="38">
        <v>4.0069999999999997</v>
      </c>
    </row>
    <row r="1266" spans="1:5">
      <c r="A1266" s="55" t="s">
        <v>2036</v>
      </c>
      <c r="B1266" s="38">
        <v>3.6930000000000001</v>
      </c>
      <c r="C1266" s="38">
        <v>3.613</v>
      </c>
      <c r="D1266" s="38">
        <v>3.6560000000000001</v>
      </c>
      <c r="E1266" s="38">
        <v>3.9729999999999999</v>
      </c>
    </row>
    <row r="1267" spans="1:5">
      <c r="A1267" s="55" t="s">
        <v>2037</v>
      </c>
      <c r="B1267" s="38">
        <v>3.6520000000000001</v>
      </c>
      <c r="C1267" s="38">
        <v>3.5640000000000001</v>
      </c>
      <c r="D1267" s="38">
        <v>3.5990000000000002</v>
      </c>
      <c r="E1267" s="38">
        <v>3.8929999999999998</v>
      </c>
    </row>
    <row r="1268" spans="1:5">
      <c r="A1268" s="55" t="s">
        <v>2038</v>
      </c>
      <c r="B1268" s="38">
        <v>3.6909999999999998</v>
      </c>
      <c r="C1268" s="38">
        <v>3.605</v>
      </c>
      <c r="D1268" s="38">
        <v>3.645</v>
      </c>
      <c r="E1268" s="38">
        <v>3.9580000000000002</v>
      </c>
    </row>
    <row r="1269" spans="1:5">
      <c r="A1269" s="55" t="s">
        <v>2039</v>
      </c>
      <c r="B1269" s="38">
        <v>3.7240000000000002</v>
      </c>
      <c r="C1269" s="38">
        <v>3.6339999999999999</v>
      </c>
      <c r="D1269" s="38">
        <v>3.6760000000000002</v>
      </c>
      <c r="E1269" s="38">
        <v>3.9990000000000001</v>
      </c>
    </row>
    <row r="1270" spans="1:5">
      <c r="A1270" s="55" t="s">
        <v>2040</v>
      </c>
      <c r="B1270" s="38">
        <v>3.7949999999999999</v>
      </c>
      <c r="C1270" s="38">
        <v>3.702</v>
      </c>
      <c r="D1270" s="38">
        <v>3.7410000000000001</v>
      </c>
      <c r="E1270" s="38">
        <v>4.048</v>
      </c>
    </row>
    <row r="1271" spans="1:5">
      <c r="A1271" s="55" t="s">
        <v>2041</v>
      </c>
      <c r="B1271" s="38">
        <v>3.7930000000000001</v>
      </c>
      <c r="C1271" s="38">
        <v>3.7010000000000001</v>
      </c>
      <c r="D1271" s="38">
        <v>3.7429999999999999</v>
      </c>
      <c r="E1271" s="38">
        <v>4.0529999999999999</v>
      </c>
    </row>
    <row r="1272" spans="1:5">
      <c r="A1272" s="55" t="s">
        <v>2042</v>
      </c>
      <c r="B1272" s="38">
        <v>3.8540000000000001</v>
      </c>
      <c r="C1272" s="38">
        <v>3.7650000000000001</v>
      </c>
      <c r="D1272" s="38">
        <v>3.8149999999999999</v>
      </c>
      <c r="E1272" s="38">
        <v>4.1360000000000001</v>
      </c>
    </row>
    <row r="1273" spans="1:5">
      <c r="A1273" s="55" t="s">
        <v>2043</v>
      </c>
      <c r="B1273" s="38">
        <v>3.8919999999999999</v>
      </c>
      <c r="C1273" s="38">
        <v>3.8029999999999999</v>
      </c>
      <c r="D1273" s="38">
        <v>3.851</v>
      </c>
      <c r="E1273" s="38">
        <v>4.16</v>
      </c>
    </row>
    <row r="1274" spans="1:5">
      <c r="A1274" s="55" t="s">
        <v>2044</v>
      </c>
      <c r="B1274" s="38">
        <v>3.8279999999999998</v>
      </c>
      <c r="C1274" s="38">
        <v>3.7349999999999999</v>
      </c>
      <c r="D1274" s="38">
        <v>3.7869999999999999</v>
      </c>
      <c r="E1274" s="38">
        <v>4.1059999999999999</v>
      </c>
    </row>
    <row r="1275" spans="1:5">
      <c r="A1275" s="55" t="s">
        <v>2045</v>
      </c>
      <c r="B1275" s="38">
        <v>3.8380000000000001</v>
      </c>
      <c r="C1275" s="38">
        <v>3.7450000000000001</v>
      </c>
      <c r="D1275" s="38">
        <v>3.7970000000000002</v>
      </c>
      <c r="E1275" s="38">
        <v>4.12</v>
      </c>
    </row>
    <row r="1276" spans="1:5">
      <c r="A1276" s="55" t="s">
        <v>2046</v>
      </c>
      <c r="B1276" s="38">
        <v>3.8290000000000002</v>
      </c>
      <c r="C1276" s="38">
        <v>3.734</v>
      </c>
      <c r="D1276" s="38">
        <v>3.7890000000000001</v>
      </c>
      <c r="E1276" s="38">
        <v>4.109</v>
      </c>
    </row>
    <row r="1277" spans="1:5">
      <c r="A1277" s="55" t="s">
        <v>2047</v>
      </c>
      <c r="B1277" s="38">
        <v>3.7749999999999999</v>
      </c>
      <c r="C1277" s="38">
        <v>3.6779999999999999</v>
      </c>
      <c r="D1277" s="38">
        <v>3.7360000000000002</v>
      </c>
      <c r="E1277" s="38">
        <v>4.0750000000000002</v>
      </c>
    </row>
    <row r="1278" spans="1:5">
      <c r="A1278" s="55" t="s">
        <v>2048</v>
      </c>
      <c r="B1278" s="38">
        <v>3.7549999999999999</v>
      </c>
      <c r="C1278" s="38">
        <v>3.6579999999999999</v>
      </c>
      <c r="D1278" s="38">
        <v>3.7240000000000002</v>
      </c>
      <c r="E1278" s="38">
        <v>4.08</v>
      </c>
    </row>
    <row r="1279" spans="1:5">
      <c r="A1279" s="55" t="s">
        <v>2049</v>
      </c>
      <c r="B1279" s="38">
        <v>3.8140000000000001</v>
      </c>
      <c r="C1279" s="38">
        <v>3.7240000000000002</v>
      </c>
      <c r="D1279" s="38">
        <v>3.7919999999999998</v>
      </c>
      <c r="E1279" s="38">
        <v>4.1539999999999999</v>
      </c>
    </row>
    <row r="1280" spans="1:5">
      <c r="A1280" s="55" t="s">
        <v>2050</v>
      </c>
      <c r="B1280" s="38">
        <v>3.8620000000000001</v>
      </c>
      <c r="C1280" s="38">
        <v>3.78</v>
      </c>
      <c r="D1280" s="38">
        <v>3.8479999999999999</v>
      </c>
      <c r="E1280" s="38">
        <v>4.2130000000000001</v>
      </c>
    </row>
    <row r="1281" spans="1:5">
      <c r="A1281" s="55" t="s">
        <v>2051</v>
      </c>
      <c r="B1281" s="38">
        <v>3.915</v>
      </c>
      <c r="C1281" s="38">
        <v>3.8380000000000001</v>
      </c>
      <c r="D1281" s="38">
        <v>3.9049999999999998</v>
      </c>
      <c r="E1281" s="38">
        <v>4.2670000000000003</v>
      </c>
    </row>
    <row r="1282" spans="1:5">
      <c r="A1282" s="55" t="s">
        <v>2052</v>
      </c>
      <c r="B1282" s="38">
        <v>3.93</v>
      </c>
      <c r="C1282" s="38">
        <v>3.855</v>
      </c>
      <c r="D1282" s="38">
        <v>3.9249999999999998</v>
      </c>
      <c r="E1282" s="38">
        <v>4.2960000000000003</v>
      </c>
    </row>
    <row r="1283" spans="1:5">
      <c r="A1283" s="55" t="s">
        <v>2053</v>
      </c>
      <c r="B1283" s="38">
        <v>3.9049999999999998</v>
      </c>
      <c r="C1283" s="38">
        <v>3.827</v>
      </c>
      <c r="D1283" s="38">
        <v>3.8889999999999998</v>
      </c>
      <c r="E1283" s="38">
        <v>4.2320000000000002</v>
      </c>
    </row>
    <row r="1284" spans="1:5">
      <c r="A1284" s="55" t="s">
        <v>2054</v>
      </c>
      <c r="B1284" s="38">
        <v>3.8620000000000001</v>
      </c>
      <c r="C1284" s="38">
        <v>3.7789999999999999</v>
      </c>
      <c r="D1284" s="38">
        <v>3.8370000000000002</v>
      </c>
      <c r="E1284" s="38">
        <v>4.1929999999999996</v>
      </c>
    </row>
    <row r="1285" spans="1:5">
      <c r="A1285" s="55" t="s">
        <v>2055</v>
      </c>
      <c r="B1285" s="38">
        <v>3.8730000000000002</v>
      </c>
      <c r="C1285" s="38">
        <v>3.7959999999999998</v>
      </c>
      <c r="D1285" s="38">
        <v>3.863</v>
      </c>
      <c r="E1285" s="38">
        <v>4.2329999999999997</v>
      </c>
    </row>
    <row r="1286" spans="1:5">
      <c r="A1286" s="55" t="s">
        <v>2056</v>
      </c>
      <c r="B1286" s="38">
        <v>3.8740000000000001</v>
      </c>
      <c r="C1286" s="38">
        <v>3.7949999999999999</v>
      </c>
      <c r="D1286" s="38">
        <v>3.8650000000000002</v>
      </c>
      <c r="E1286" s="38">
        <v>4.2469999999999999</v>
      </c>
    </row>
    <row r="1287" spans="1:5">
      <c r="A1287" s="55" t="s">
        <v>2057</v>
      </c>
      <c r="B1287" s="38">
        <v>3.8220000000000001</v>
      </c>
      <c r="C1287" s="38">
        <v>3.746</v>
      </c>
      <c r="D1287" s="38">
        <v>3.8210000000000002</v>
      </c>
      <c r="E1287" s="38">
        <v>4.218</v>
      </c>
    </row>
    <row r="1288" spans="1:5">
      <c r="A1288" s="55" t="s">
        <v>2058</v>
      </c>
      <c r="B1288" s="38">
        <v>3.7909999999999999</v>
      </c>
      <c r="C1288" s="38">
        <v>3.7069999999999999</v>
      </c>
      <c r="D1288" s="38">
        <v>3.7679999999999998</v>
      </c>
      <c r="E1288" s="38">
        <v>4.1440000000000001</v>
      </c>
    </row>
    <row r="1289" spans="1:5">
      <c r="A1289" s="55" t="s">
        <v>2059</v>
      </c>
      <c r="B1289" s="38">
        <v>3.6419999999999999</v>
      </c>
      <c r="C1289" s="38">
        <v>3.5579999999999998</v>
      </c>
      <c r="D1289" s="38">
        <v>3.6240000000000001</v>
      </c>
      <c r="E1289" s="38">
        <v>4.0149999999999997</v>
      </c>
    </row>
    <row r="1290" spans="1:5">
      <c r="A1290" s="55" t="s">
        <v>2060</v>
      </c>
      <c r="B1290" s="38">
        <v>3.6459999999999999</v>
      </c>
      <c r="C1290" s="38">
        <v>3.56</v>
      </c>
      <c r="D1290" s="38">
        <v>3.63</v>
      </c>
      <c r="E1290" s="38">
        <v>4.016</v>
      </c>
    </row>
    <row r="1291" spans="1:5">
      <c r="A1291" s="55" t="s">
        <v>2061</v>
      </c>
      <c r="B1291" s="38">
        <v>3.6280000000000001</v>
      </c>
      <c r="C1291" s="38">
        <v>3.54</v>
      </c>
      <c r="D1291" s="38">
        <v>3.6120000000000001</v>
      </c>
      <c r="E1291" s="38">
        <v>3.9820000000000002</v>
      </c>
    </row>
    <row r="1292" spans="1:5">
      <c r="A1292" s="55" t="s">
        <v>2062</v>
      </c>
      <c r="B1292" s="38">
        <v>3.7440000000000002</v>
      </c>
      <c r="C1292" s="38">
        <v>3.665</v>
      </c>
      <c r="D1292" s="38">
        <v>3.7370000000000001</v>
      </c>
      <c r="E1292" s="38">
        <v>4.0990000000000002</v>
      </c>
    </row>
    <row r="1293" spans="1:5">
      <c r="A1293" s="55" t="s">
        <v>2063</v>
      </c>
      <c r="B1293" s="38">
        <v>3.7629999999999999</v>
      </c>
      <c r="C1293" s="38">
        <v>3.6840000000000002</v>
      </c>
      <c r="D1293" s="38">
        <v>3.7559999999999998</v>
      </c>
      <c r="E1293" s="38">
        <v>4.1289999999999996</v>
      </c>
    </row>
    <row r="1294" spans="1:5">
      <c r="A1294" s="55" t="s">
        <v>2064</v>
      </c>
      <c r="B1294" s="38">
        <v>3.7189999999999999</v>
      </c>
      <c r="C1294" s="38">
        <v>3.645</v>
      </c>
      <c r="D1294" s="38">
        <v>3.714</v>
      </c>
      <c r="E1294" s="38">
        <v>4.0910000000000002</v>
      </c>
    </row>
    <row r="1295" spans="1:5">
      <c r="A1295" s="55" t="s">
        <v>2065</v>
      </c>
      <c r="B1295" s="38">
        <v>3.738</v>
      </c>
      <c r="C1295" s="38">
        <v>3.6619999999999999</v>
      </c>
      <c r="D1295" s="38">
        <v>3.7349999999999999</v>
      </c>
      <c r="E1295" s="38">
        <v>4.1109999999999998</v>
      </c>
    </row>
    <row r="1296" spans="1:5">
      <c r="A1296" s="55" t="s">
        <v>2066</v>
      </c>
      <c r="B1296" s="38">
        <v>3.7629999999999999</v>
      </c>
      <c r="C1296" s="38">
        <v>3.6909999999999998</v>
      </c>
      <c r="D1296" s="38">
        <v>3.7610000000000001</v>
      </c>
      <c r="E1296" s="38">
        <v>4.13</v>
      </c>
    </row>
    <row r="1297" spans="1:5">
      <c r="A1297" s="55" t="s">
        <v>2067</v>
      </c>
      <c r="B1297" s="38">
        <v>3.82</v>
      </c>
      <c r="C1297" s="38">
        <v>3.75</v>
      </c>
      <c r="D1297" s="38">
        <v>3.8149999999999999</v>
      </c>
      <c r="E1297" s="38">
        <v>4.1660000000000004</v>
      </c>
    </row>
    <row r="1298" spans="1:5">
      <c r="A1298" s="55" t="s">
        <v>2068</v>
      </c>
      <c r="B1298" s="38">
        <v>3.8279999999999998</v>
      </c>
      <c r="C1298" s="38">
        <v>3.758</v>
      </c>
      <c r="D1298" s="38">
        <v>3.8250000000000002</v>
      </c>
      <c r="E1298" s="38">
        <v>4.1749999999999998</v>
      </c>
    </row>
    <row r="1299" spans="1:5">
      <c r="A1299" s="55" t="s">
        <v>2069</v>
      </c>
      <c r="B1299" s="38">
        <v>3.9129999999999998</v>
      </c>
      <c r="C1299" s="38">
        <v>3.8540000000000001</v>
      </c>
      <c r="D1299" s="38">
        <v>3.9180000000000001</v>
      </c>
      <c r="E1299" s="38">
        <v>4.2679999999999998</v>
      </c>
    </row>
    <row r="1300" spans="1:5">
      <c r="A1300" s="55" t="s">
        <v>2070</v>
      </c>
      <c r="B1300" s="38">
        <v>3.7839999999999998</v>
      </c>
      <c r="C1300" s="38">
        <v>3.726</v>
      </c>
      <c r="D1300" s="38">
        <v>3.7879999999999998</v>
      </c>
      <c r="E1300" s="38">
        <v>4.1399999999999997</v>
      </c>
    </row>
    <row r="1301" spans="1:5">
      <c r="A1301" s="55" t="s">
        <v>2071</v>
      </c>
      <c r="B1301" s="38">
        <v>3.8330000000000002</v>
      </c>
      <c r="C1301" s="38">
        <v>3.7749999999999999</v>
      </c>
      <c r="D1301" s="38">
        <v>3.843</v>
      </c>
      <c r="E1301" s="38">
        <v>4.1989999999999998</v>
      </c>
    </row>
    <row r="1302" spans="1:5">
      <c r="A1302" s="55" t="s">
        <v>2072</v>
      </c>
      <c r="B1302" s="38">
        <v>3.8140000000000001</v>
      </c>
      <c r="C1302" s="38">
        <v>3.7549999999999999</v>
      </c>
      <c r="D1302" s="38">
        <v>3.823</v>
      </c>
      <c r="E1302" s="38">
        <v>4.1740000000000004</v>
      </c>
    </row>
    <row r="1303" spans="1:5">
      <c r="A1303" s="55" t="s">
        <v>2073</v>
      </c>
      <c r="B1303" s="38">
        <v>3.802</v>
      </c>
      <c r="C1303" s="38">
        <v>3.746</v>
      </c>
      <c r="D1303" s="38">
        <v>3.819</v>
      </c>
      <c r="E1303" s="38">
        <v>4.1849999999999996</v>
      </c>
    </row>
    <row r="1304" spans="1:5">
      <c r="A1304" s="55" t="s">
        <v>2074</v>
      </c>
      <c r="B1304" s="38">
        <v>3.78</v>
      </c>
      <c r="C1304" s="38">
        <v>3.726</v>
      </c>
      <c r="D1304" s="38">
        <v>3.8</v>
      </c>
      <c r="E1304" s="38">
        <v>4.1749999999999998</v>
      </c>
    </row>
    <row r="1305" spans="1:5">
      <c r="A1305" s="55" t="s">
        <v>2075</v>
      </c>
      <c r="B1305" s="38">
        <v>3.79</v>
      </c>
      <c r="C1305" s="38">
        <v>3.734</v>
      </c>
      <c r="D1305" s="38">
        <v>3.8029999999999999</v>
      </c>
      <c r="E1305" s="38">
        <v>4.16</v>
      </c>
    </row>
    <row r="1306" spans="1:5">
      <c r="A1306" s="55" t="s">
        <v>2076</v>
      </c>
      <c r="B1306" s="38">
        <v>3.835</v>
      </c>
      <c r="C1306" s="38">
        <v>3.7850000000000001</v>
      </c>
      <c r="D1306" s="38">
        <v>3.851</v>
      </c>
      <c r="E1306" s="38">
        <v>4.2009999999999996</v>
      </c>
    </row>
    <row r="1307" spans="1:5">
      <c r="A1307" s="55" t="s">
        <v>2077</v>
      </c>
      <c r="B1307" s="38">
        <v>3.7669999999999999</v>
      </c>
      <c r="C1307" s="38">
        <v>3.714</v>
      </c>
      <c r="D1307" s="38">
        <v>3.7719999999999998</v>
      </c>
      <c r="E1307" s="38">
        <v>4.1059999999999999</v>
      </c>
    </row>
    <row r="1308" spans="1:5">
      <c r="A1308" s="55" t="s">
        <v>2078</v>
      </c>
      <c r="B1308" s="38">
        <v>3.774</v>
      </c>
      <c r="C1308" s="38">
        <v>3.7210000000000001</v>
      </c>
      <c r="D1308" s="38">
        <v>3.786</v>
      </c>
      <c r="E1308" s="38">
        <v>4.1360000000000001</v>
      </c>
    </row>
    <row r="1309" spans="1:5">
      <c r="A1309" s="55" t="s">
        <v>2079</v>
      </c>
      <c r="B1309" s="38">
        <v>3.7810000000000001</v>
      </c>
      <c r="C1309" s="38">
        <v>3.7320000000000002</v>
      </c>
      <c r="D1309" s="38">
        <v>3.8029999999999999</v>
      </c>
      <c r="E1309" s="38">
        <v>4.1710000000000003</v>
      </c>
    </row>
    <row r="1310" spans="1:5">
      <c r="A1310" s="55" t="s">
        <v>2080</v>
      </c>
      <c r="B1310" s="38">
        <v>3.754</v>
      </c>
      <c r="C1310" s="38">
        <v>3.702</v>
      </c>
      <c r="D1310" s="38">
        <v>3.774</v>
      </c>
      <c r="E1310" s="38">
        <v>4.141</v>
      </c>
    </row>
    <row r="1311" spans="1:5">
      <c r="A1311" s="55" t="s">
        <v>2081</v>
      </c>
      <c r="B1311" s="38">
        <v>3.7639999999999998</v>
      </c>
      <c r="C1311" s="38">
        <v>3.7120000000000002</v>
      </c>
      <c r="D1311" s="38">
        <v>3.782</v>
      </c>
      <c r="E1311" s="38">
        <v>4.1459999999999999</v>
      </c>
    </row>
    <row r="1312" spans="1:5">
      <c r="A1312" s="55" t="s">
        <v>2082</v>
      </c>
      <c r="B1312" s="38">
        <v>3.7320000000000002</v>
      </c>
      <c r="C1312" s="38">
        <v>3.6819999999999999</v>
      </c>
      <c r="D1312" s="38">
        <v>3.7519999999999998</v>
      </c>
      <c r="E1312" s="38">
        <v>4.1059999999999999</v>
      </c>
    </row>
    <row r="1313" spans="1:5">
      <c r="A1313" s="55" t="s">
        <v>2083</v>
      </c>
      <c r="B1313" s="38">
        <v>3.7320000000000002</v>
      </c>
      <c r="C1313" s="38">
        <v>3.6819999999999999</v>
      </c>
      <c r="D1313" s="38">
        <v>3.7480000000000002</v>
      </c>
      <c r="E1313" s="38">
        <v>4.0960000000000001</v>
      </c>
    </row>
    <row r="1314" spans="1:5">
      <c r="A1314" s="55" t="s">
        <v>2084</v>
      </c>
      <c r="B1314" s="38">
        <v>3.677</v>
      </c>
      <c r="C1314" s="38">
        <v>3.6240000000000001</v>
      </c>
      <c r="D1314" s="38">
        <v>3.6829999999999998</v>
      </c>
      <c r="E1314" s="38">
        <v>4.0119999999999996</v>
      </c>
    </row>
    <row r="1315" spans="1:5">
      <c r="A1315" s="55" t="s">
        <v>2085</v>
      </c>
      <c r="B1315" s="38">
        <v>3.6960000000000002</v>
      </c>
      <c r="C1315" s="38">
        <v>3.633</v>
      </c>
      <c r="D1315" s="38">
        <v>3.6909999999999998</v>
      </c>
      <c r="E1315" s="38">
        <v>4.0140000000000002</v>
      </c>
    </row>
    <row r="1316" spans="1:5">
      <c r="A1316" s="55" t="s">
        <v>2086</v>
      </c>
      <c r="B1316" s="38">
        <v>3.6659999999999999</v>
      </c>
      <c r="C1316" s="38">
        <v>3.6019999999999999</v>
      </c>
      <c r="D1316" s="38">
        <v>3.66</v>
      </c>
      <c r="E1316" s="38">
        <v>3.9780000000000002</v>
      </c>
    </row>
    <row r="1317" spans="1:5">
      <c r="A1317" s="55" t="s">
        <v>2087</v>
      </c>
      <c r="B1317" s="38">
        <v>3.6480000000000001</v>
      </c>
      <c r="C1317" s="38">
        <v>3.5859999999999999</v>
      </c>
      <c r="D1317" s="38">
        <v>3.6419999999999999</v>
      </c>
      <c r="E1317" s="38">
        <v>3.9569999999999999</v>
      </c>
    </row>
    <row r="1318" spans="1:5">
      <c r="A1318" s="55" t="s">
        <v>2088</v>
      </c>
      <c r="B1318" s="38">
        <v>3.6429999999999998</v>
      </c>
      <c r="C1318" s="38">
        <v>3.5830000000000002</v>
      </c>
      <c r="D1318" s="38">
        <v>3.6440000000000001</v>
      </c>
      <c r="E1318" s="38">
        <v>3.9510000000000001</v>
      </c>
    </row>
    <row r="1319" spans="1:5">
      <c r="A1319" s="55" t="s">
        <v>2089</v>
      </c>
      <c r="B1319" s="38">
        <v>3.706</v>
      </c>
      <c r="C1319" s="38">
        <v>3.6469999999999998</v>
      </c>
      <c r="D1319" s="38">
        <v>3.7120000000000002</v>
      </c>
      <c r="E1319" s="38">
        <v>4.0229999999999997</v>
      </c>
    </row>
    <row r="1320" spans="1:5">
      <c r="A1320" s="55" t="s">
        <v>2090</v>
      </c>
      <c r="B1320" s="38">
        <v>3.74</v>
      </c>
      <c r="C1320" s="38">
        <v>3.681</v>
      </c>
      <c r="D1320" s="38">
        <v>3.7480000000000002</v>
      </c>
      <c r="E1320" s="38">
        <v>4.0620000000000003</v>
      </c>
    </row>
    <row r="1321" spans="1:5">
      <c r="A1321" s="55" t="s">
        <v>2091</v>
      </c>
      <c r="B1321" s="38">
        <v>3.8029999999999999</v>
      </c>
      <c r="C1321" s="38">
        <v>3.7429999999999999</v>
      </c>
      <c r="D1321" s="38">
        <v>3.8130000000000002</v>
      </c>
      <c r="E1321" s="38">
        <v>4.1390000000000002</v>
      </c>
    </row>
    <row r="1322" spans="1:5">
      <c r="A1322" s="55" t="s">
        <v>2092</v>
      </c>
      <c r="B1322" s="38">
        <v>3.7970000000000002</v>
      </c>
      <c r="C1322" s="38">
        <v>3.7360000000000002</v>
      </c>
      <c r="D1322" s="38">
        <v>3.8050000000000002</v>
      </c>
      <c r="E1322" s="38">
        <v>4.1159999999999997</v>
      </c>
    </row>
    <row r="1323" spans="1:5">
      <c r="A1323" s="55" t="s">
        <v>2093</v>
      </c>
      <c r="B1323" s="38">
        <v>3.7389999999999999</v>
      </c>
      <c r="C1323" s="38">
        <v>3.669</v>
      </c>
      <c r="D1323" s="38">
        <v>3.7440000000000002</v>
      </c>
      <c r="E1323" s="38">
        <v>4.0869999999999997</v>
      </c>
    </row>
    <row r="1324" spans="1:5">
      <c r="A1324" s="55" t="s">
        <v>2094</v>
      </c>
      <c r="B1324" s="38">
        <v>3.726</v>
      </c>
      <c r="C1324" s="38">
        <v>3.6509999999999998</v>
      </c>
      <c r="D1324" s="38">
        <v>3.7130000000000001</v>
      </c>
      <c r="E1324" s="38">
        <v>4.056</v>
      </c>
    </row>
    <row r="1325" spans="1:5">
      <c r="A1325" s="55" t="s">
        <v>2095</v>
      </c>
      <c r="B1325" s="38">
        <v>3.778</v>
      </c>
      <c r="C1325" s="38">
        <v>3.6989999999999998</v>
      </c>
      <c r="D1325" s="38">
        <v>3.7559999999999998</v>
      </c>
      <c r="E1325" s="38">
        <v>4.0949999999999998</v>
      </c>
    </row>
    <row r="1326" spans="1:5">
      <c r="A1326" s="55" t="s">
        <v>2096</v>
      </c>
      <c r="B1326" s="38">
        <v>3.7469999999999999</v>
      </c>
      <c r="C1326" s="38">
        <v>3.6629999999999998</v>
      </c>
      <c r="D1326" s="38">
        <v>3.7120000000000002</v>
      </c>
      <c r="E1326" s="38">
        <v>4.0410000000000004</v>
      </c>
    </row>
    <row r="1327" spans="1:5">
      <c r="A1327" s="55" t="s">
        <v>2097</v>
      </c>
      <c r="B1327" s="38">
        <v>3.714</v>
      </c>
      <c r="C1327" s="38">
        <v>3.633</v>
      </c>
      <c r="D1327" s="38">
        <v>3.6819999999999999</v>
      </c>
      <c r="E1327" s="38">
        <v>4.0110000000000001</v>
      </c>
    </row>
    <row r="1328" spans="1:5">
      <c r="A1328" s="55" t="s">
        <v>2098</v>
      </c>
      <c r="B1328" s="38">
        <v>3.7170000000000001</v>
      </c>
      <c r="C1328" s="38">
        <v>3.64</v>
      </c>
      <c r="D1328" s="38">
        <v>3.6920000000000002</v>
      </c>
      <c r="E1328" s="38">
        <v>4.0309999999999997</v>
      </c>
    </row>
    <row r="1329" spans="1:5">
      <c r="A1329" s="55" t="s">
        <v>2099</v>
      </c>
      <c r="B1329" s="38">
        <v>3.6970000000000001</v>
      </c>
      <c r="C1329" s="38">
        <v>3.62</v>
      </c>
      <c r="D1329" s="38">
        <v>3.6680000000000001</v>
      </c>
      <c r="E1329" s="38">
        <v>4.0069999999999997</v>
      </c>
    </row>
    <row r="1330" spans="1:5">
      <c r="A1330" s="55" t="s">
        <v>2100</v>
      </c>
      <c r="B1330" s="38">
        <v>3.6659999999999999</v>
      </c>
      <c r="C1330" s="38">
        <v>3.589</v>
      </c>
      <c r="D1330" s="38">
        <v>3.633</v>
      </c>
      <c r="E1330" s="38">
        <v>3.968</v>
      </c>
    </row>
    <row r="1331" spans="1:5">
      <c r="A1331" s="55" t="s">
        <v>2101</v>
      </c>
      <c r="B1331" s="38">
        <v>3.714</v>
      </c>
      <c r="C1331" s="38">
        <v>3.653</v>
      </c>
      <c r="D1331" s="38">
        <v>3.7109999999999999</v>
      </c>
      <c r="E1331" s="38">
        <v>4.0670000000000002</v>
      </c>
    </row>
    <row r="1332" spans="1:5">
      <c r="A1332" s="55" t="s">
        <v>2102</v>
      </c>
      <c r="B1332" s="38">
        <v>3.7719999999999998</v>
      </c>
      <c r="C1332" s="38">
        <v>3.7130000000000001</v>
      </c>
      <c r="D1332" s="38">
        <v>3.7730000000000001</v>
      </c>
      <c r="E1332" s="38">
        <v>4.1360000000000001</v>
      </c>
    </row>
    <row r="1333" spans="1:5">
      <c r="A1333" s="55" t="s">
        <v>2103</v>
      </c>
      <c r="B1333" s="38">
        <v>3.8029999999999999</v>
      </c>
      <c r="C1333" s="38">
        <v>3.7410000000000001</v>
      </c>
      <c r="D1333" s="38">
        <v>3.8039999999999998</v>
      </c>
      <c r="E1333" s="38">
        <v>4.1740000000000004</v>
      </c>
    </row>
    <row r="1334" spans="1:5">
      <c r="A1334" s="55" t="s">
        <v>2104</v>
      </c>
      <c r="B1334" s="38">
        <v>3.75</v>
      </c>
      <c r="C1334" s="38">
        <v>3.681</v>
      </c>
      <c r="D1334" s="38">
        <v>3.74</v>
      </c>
      <c r="E1334" s="38">
        <v>4.0949999999999998</v>
      </c>
    </row>
    <row r="1335" spans="1:5">
      <c r="A1335" s="55" t="s">
        <v>2105</v>
      </c>
      <c r="B1335" s="38">
        <v>3.8170000000000002</v>
      </c>
      <c r="C1335" s="38">
        <v>3.7570000000000001</v>
      </c>
      <c r="D1335" s="38">
        <v>3.8239999999999998</v>
      </c>
      <c r="E1335" s="38">
        <v>4.1920000000000002</v>
      </c>
    </row>
    <row r="1336" spans="1:5">
      <c r="A1336" s="55" t="s">
        <v>2106</v>
      </c>
      <c r="B1336" s="38">
        <v>3.7879999999999998</v>
      </c>
      <c r="C1336" s="38">
        <v>3.7250000000000001</v>
      </c>
      <c r="D1336" s="38">
        <v>3.7949999999999999</v>
      </c>
      <c r="E1336" s="38">
        <v>4.1680000000000001</v>
      </c>
    </row>
    <row r="1337" spans="1:5">
      <c r="A1337" s="55" t="s">
        <v>2107</v>
      </c>
      <c r="B1337" s="38">
        <v>3.762</v>
      </c>
      <c r="C1337" s="38">
        <v>3.6970000000000001</v>
      </c>
      <c r="D1337" s="38">
        <v>3.758</v>
      </c>
      <c r="E1337" s="38">
        <v>4.1130000000000004</v>
      </c>
    </row>
    <row r="1338" spans="1:5">
      <c r="A1338" s="55" t="s">
        <v>2108</v>
      </c>
      <c r="B1338" s="38">
        <v>3.8879999999999999</v>
      </c>
      <c r="C1338" s="38">
        <v>3.8319999999999999</v>
      </c>
      <c r="D1338" s="38">
        <v>3.8940000000000001</v>
      </c>
      <c r="E1338" s="38">
        <v>4.2510000000000003</v>
      </c>
    </row>
    <row r="1339" spans="1:5">
      <c r="A1339" s="55" t="s">
        <v>2109</v>
      </c>
      <c r="B1339" s="38">
        <v>3.9039999999999999</v>
      </c>
      <c r="C1339" s="38">
        <v>3.8490000000000002</v>
      </c>
      <c r="D1339" s="38">
        <v>3.911</v>
      </c>
      <c r="E1339" s="38">
        <v>4.2619999999999996</v>
      </c>
    </row>
    <row r="1340" spans="1:5">
      <c r="A1340" s="55" t="s">
        <v>2110</v>
      </c>
      <c r="B1340" s="38">
        <v>3.8959999999999999</v>
      </c>
      <c r="C1340" s="38">
        <v>3.8410000000000002</v>
      </c>
      <c r="D1340" s="38">
        <v>3.903</v>
      </c>
      <c r="E1340" s="38">
        <v>4.2569999999999997</v>
      </c>
    </row>
    <row r="1341" spans="1:5">
      <c r="A1341" s="55" t="s">
        <v>2111</v>
      </c>
      <c r="B1341" s="38">
        <v>3.9409999999999998</v>
      </c>
      <c r="C1341" s="38">
        <v>3.8879999999999999</v>
      </c>
      <c r="D1341" s="38">
        <v>3.9580000000000002</v>
      </c>
      <c r="E1341" s="38">
        <v>4.3259999999999996</v>
      </c>
    </row>
    <row r="1342" spans="1:5">
      <c r="A1342" s="55" t="s">
        <v>2112</v>
      </c>
      <c r="B1342" s="38">
        <v>3.9929999999999999</v>
      </c>
      <c r="C1342" s="38">
        <v>3.9449999999999998</v>
      </c>
      <c r="D1342" s="38">
        <v>4.0179999999999998</v>
      </c>
      <c r="E1342" s="38">
        <v>4.3789999999999996</v>
      </c>
    </row>
    <row r="1343" spans="1:5">
      <c r="A1343" s="55" t="s">
        <v>2113</v>
      </c>
      <c r="B1343" s="38">
        <v>3.9159999999999999</v>
      </c>
      <c r="C1343" s="38">
        <v>3.8639999999999999</v>
      </c>
      <c r="D1343" s="38">
        <v>3.93</v>
      </c>
      <c r="E1343" s="38">
        <v>4.2750000000000004</v>
      </c>
    </row>
    <row r="1344" spans="1:5">
      <c r="A1344" s="55" t="s">
        <v>2114</v>
      </c>
      <c r="B1344" s="38">
        <v>3.8780000000000001</v>
      </c>
      <c r="C1344" s="38">
        <v>3.8250000000000002</v>
      </c>
      <c r="D1344" s="38">
        <v>3.8959999999999999</v>
      </c>
      <c r="E1344" s="38">
        <v>4.2510000000000003</v>
      </c>
    </row>
    <row r="1345" spans="1:5">
      <c r="A1345" s="55" t="s">
        <v>2115</v>
      </c>
      <c r="B1345" s="38">
        <v>3.931</v>
      </c>
      <c r="C1345" s="38">
        <v>3.883</v>
      </c>
      <c r="D1345" s="38">
        <v>3.9569999999999999</v>
      </c>
      <c r="E1345" s="38">
        <v>4.3150000000000004</v>
      </c>
    </row>
    <row r="1346" spans="1:5">
      <c r="A1346" s="55" t="s">
        <v>2116</v>
      </c>
      <c r="B1346" s="38">
        <v>3.8940000000000001</v>
      </c>
      <c r="C1346" s="38">
        <v>3.8460000000000001</v>
      </c>
      <c r="D1346" s="38">
        <v>3.9129999999999998</v>
      </c>
      <c r="E1346" s="38">
        <v>4.266</v>
      </c>
    </row>
    <row r="1347" spans="1:5">
      <c r="A1347" s="55" t="s">
        <v>2117</v>
      </c>
      <c r="B1347" s="38">
        <v>4.077</v>
      </c>
      <c r="C1347" s="38">
        <v>4.0309999999999997</v>
      </c>
      <c r="D1347" s="38">
        <v>4.0890000000000004</v>
      </c>
      <c r="E1347" s="38">
        <v>4.4039999999999999</v>
      </c>
    </row>
    <row r="1348" spans="1:5">
      <c r="A1348" s="55" t="s">
        <v>2118</v>
      </c>
      <c r="B1348" s="38">
        <v>4.1829999999999998</v>
      </c>
      <c r="C1348" s="38">
        <v>4.1379999999999999</v>
      </c>
      <c r="D1348" s="38">
        <v>4.2030000000000003</v>
      </c>
      <c r="E1348" s="38">
        <v>4.5179999999999998</v>
      </c>
    </row>
    <row r="1349" spans="1:5">
      <c r="A1349" s="55" t="s">
        <v>2119</v>
      </c>
      <c r="B1349" s="38">
        <v>4.157</v>
      </c>
      <c r="C1349" s="38">
        <v>4.1059999999999999</v>
      </c>
      <c r="D1349" s="38">
        <v>4.1710000000000003</v>
      </c>
      <c r="E1349" s="38">
        <v>4.484</v>
      </c>
    </row>
    <row r="1350" spans="1:5">
      <c r="A1350" s="55" t="s">
        <v>2120</v>
      </c>
      <c r="B1350" s="38">
        <v>4.0940000000000003</v>
      </c>
      <c r="C1350" s="38">
        <v>4.0339999999999998</v>
      </c>
      <c r="D1350" s="38">
        <v>4.0979999999999999</v>
      </c>
      <c r="E1350" s="38">
        <v>4.42</v>
      </c>
    </row>
    <row r="1351" spans="1:5">
      <c r="A1351" s="55" t="s">
        <v>2121</v>
      </c>
      <c r="B1351" s="38">
        <v>4.1710000000000003</v>
      </c>
      <c r="C1351" s="38">
        <v>4.1120000000000001</v>
      </c>
      <c r="D1351" s="38">
        <v>4.1779999999999999</v>
      </c>
      <c r="E1351" s="38">
        <v>4.5049999999999999</v>
      </c>
    </row>
    <row r="1352" spans="1:5">
      <c r="A1352" s="55" t="s">
        <v>2122</v>
      </c>
      <c r="B1352" s="38">
        <v>4.1210000000000004</v>
      </c>
      <c r="C1352" s="38">
        <v>4.0620000000000003</v>
      </c>
      <c r="D1352" s="38">
        <v>4.1269999999999998</v>
      </c>
      <c r="E1352" s="38">
        <v>4.4450000000000003</v>
      </c>
    </row>
    <row r="1353" spans="1:5">
      <c r="A1353" s="55" t="s">
        <v>2123</v>
      </c>
      <c r="B1353" s="38">
        <v>4.0919999999999996</v>
      </c>
      <c r="C1353" s="38">
        <v>4.0330000000000004</v>
      </c>
      <c r="D1353" s="38">
        <v>4.0960000000000001</v>
      </c>
      <c r="E1353" s="38">
        <v>4.4160000000000004</v>
      </c>
    </row>
    <row r="1354" spans="1:5">
      <c r="A1354" s="55" t="s">
        <v>2124</v>
      </c>
      <c r="B1354" s="38">
        <v>4.0819999999999999</v>
      </c>
      <c r="C1354" s="38">
        <v>4.0229999999999997</v>
      </c>
      <c r="D1354" s="38">
        <v>4.0810000000000004</v>
      </c>
      <c r="E1354" s="38">
        <v>4.3769999999999998</v>
      </c>
    </row>
    <row r="1355" spans="1:5">
      <c r="A1355" s="55" t="s">
        <v>2125</v>
      </c>
      <c r="B1355" s="38">
        <v>3.9740000000000002</v>
      </c>
      <c r="C1355" s="38">
        <v>3.9140000000000001</v>
      </c>
      <c r="D1355" s="38">
        <v>3.976</v>
      </c>
      <c r="E1355" s="38">
        <v>4.3040000000000003</v>
      </c>
    </row>
    <row r="1356" spans="1:5">
      <c r="A1356" s="55" t="s">
        <v>2126</v>
      </c>
      <c r="B1356" s="38">
        <v>3.9950000000000001</v>
      </c>
      <c r="C1356" s="38">
        <v>3.9340000000000002</v>
      </c>
      <c r="D1356" s="38">
        <v>3.9870000000000001</v>
      </c>
      <c r="E1356" s="38">
        <v>4.29</v>
      </c>
    </row>
    <row r="1357" spans="1:5">
      <c r="A1357" s="55" t="s">
        <v>2127</v>
      </c>
      <c r="B1357" s="38">
        <v>4.0380000000000003</v>
      </c>
      <c r="C1357" s="38">
        <v>3.984</v>
      </c>
      <c r="D1357" s="38">
        <v>4.0389999999999997</v>
      </c>
      <c r="E1357" s="38">
        <v>4.3440000000000003</v>
      </c>
    </row>
    <row r="1358" spans="1:5">
      <c r="A1358" s="55" t="s">
        <v>2128</v>
      </c>
      <c r="B1358" s="38">
        <v>4.0170000000000003</v>
      </c>
      <c r="C1358" s="38">
        <v>3.9649999999999999</v>
      </c>
      <c r="D1358" s="38">
        <v>4.0170000000000003</v>
      </c>
      <c r="E1358" s="38">
        <v>4.319</v>
      </c>
    </row>
    <row r="1359" spans="1:5">
      <c r="A1359" s="55" t="s">
        <v>2129</v>
      </c>
      <c r="B1359" s="38">
        <v>4.0179999999999998</v>
      </c>
      <c r="C1359" s="38">
        <v>3.9660000000000002</v>
      </c>
      <c r="D1359" s="38">
        <v>4.016</v>
      </c>
      <c r="E1359" s="38">
        <v>4.3250000000000002</v>
      </c>
    </row>
    <row r="1360" spans="1:5">
      <c r="A1360" s="55" t="s">
        <v>2130</v>
      </c>
      <c r="B1360" s="38">
        <v>4.0090000000000003</v>
      </c>
      <c r="C1360" s="38">
        <v>3.9569999999999999</v>
      </c>
      <c r="D1360" s="38">
        <v>4.01</v>
      </c>
      <c r="E1360" s="38">
        <v>4.3250000000000002</v>
      </c>
    </row>
    <row r="1361" spans="1:5">
      <c r="A1361" s="55" t="s">
        <v>2131</v>
      </c>
      <c r="B1361" s="38">
        <v>4.0110000000000001</v>
      </c>
      <c r="C1361" s="38">
        <v>3.9569999999999999</v>
      </c>
      <c r="D1361" s="38">
        <v>4.0049999999999999</v>
      </c>
      <c r="E1361" s="38">
        <v>4.3140000000000001</v>
      </c>
    </row>
    <row r="1362" spans="1:5">
      <c r="A1362" s="55" t="s">
        <v>2132</v>
      </c>
      <c r="B1362" s="38">
        <v>3.895</v>
      </c>
      <c r="C1362" s="38">
        <v>3.8359999999999999</v>
      </c>
      <c r="D1362" s="38">
        <v>3.8820000000000001</v>
      </c>
      <c r="E1362" s="38">
        <v>4.1849999999999996</v>
      </c>
    </row>
    <row r="1363" spans="1:5">
      <c r="A1363" s="55" t="s">
        <v>2133</v>
      </c>
      <c r="B1363" s="38">
        <v>3.9</v>
      </c>
      <c r="C1363" s="38">
        <v>3.843</v>
      </c>
      <c r="D1363" s="38">
        <v>3.8940000000000001</v>
      </c>
      <c r="E1363" s="38">
        <v>4.2110000000000003</v>
      </c>
    </row>
    <row r="1364" spans="1:5">
      <c r="A1364" s="55" t="s">
        <v>2134</v>
      </c>
      <c r="B1364" s="38">
        <v>3.93</v>
      </c>
      <c r="C1364" s="38">
        <v>3.8740000000000001</v>
      </c>
      <c r="D1364" s="38">
        <v>3.9249999999999998</v>
      </c>
      <c r="E1364" s="38">
        <v>4.2359999999999998</v>
      </c>
    </row>
    <row r="1365" spans="1:5">
      <c r="A1365" s="55" t="s">
        <v>2135</v>
      </c>
      <c r="B1365" s="38">
        <v>3.9489999999999998</v>
      </c>
      <c r="C1365" s="38">
        <v>3.8929999999999998</v>
      </c>
      <c r="D1365" s="38">
        <v>3.9390000000000001</v>
      </c>
      <c r="E1365" s="38">
        <v>4.2510000000000003</v>
      </c>
    </row>
    <row r="1366" spans="1:5">
      <c r="A1366" s="55" t="s">
        <v>2136</v>
      </c>
      <c r="B1366" s="38">
        <v>3.9910000000000001</v>
      </c>
      <c r="C1366" s="38">
        <v>3.9319999999999999</v>
      </c>
      <c r="D1366" s="38">
        <v>3.976</v>
      </c>
      <c r="E1366" s="38">
        <v>4.2850000000000001</v>
      </c>
    </row>
    <row r="1367" spans="1:5">
      <c r="A1367" s="55" t="s">
        <v>2137</v>
      </c>
      <c r="B1367" s="38">
        <v>3.99</v>
      </c>
      <c r="C1367" s="38">
        <v>3.93</v>
      </c>
      <c r="D1367" s="38">
        <v>3.9620000000000002</v>
      </c>
      <c r="E1367" s="38">
        <v>4.2549999999999999</v>
      </c>
    </row>
    <row r="1368" spans="1:5">
      <c r="A1368" s="55" t="s">
        <v>2138</v>
      </c>
      <c r="B1368" s="38">
        <v>4.0380000000000003</v>
      </c>
      <c r="C1368" s="38">
        <v>3.98</v>
      </c>
      <c r="D1368" s="38">
        <v>4.0140000000000002</v>
      </c>
      <c r="E1368" s="38">
        <v>4.3079999999999998</v>
      </c>
    </row>
    <row r="1369" spans="1:5">
      <c r="A1369" s="55" t="s">
        <v>2139</v>
      </c>
      <c r="B1369" s="38">
        <v>4.0179999999999998</v>
      </c>
      <c r="C1369" s="38">
        <v>3.96</v>
      </c>
      <c r="D1369" s="38">
        <v>3.9950000000000001</v>
      </c>
      <c r="E1369" s="38">
        <v>4.2789999999999999</v>
      </c>
    </row>
    <row r="1370" spans="1:5">
      <c r="A1370" s="55" t="s">
        <v>2140</v>
      </c>
      <c r="B1370" s="38">
        <v>4.0119999999999996</v>
      </c>
      <c r="C1370" s="38">
        <v>3.9510000000000001</v>
      </c>
      <c r="D1370" s="38">
        <v>3.9860000000000002</v>
      </c>
      <c r="E1370" s="38">
        <v>4.2590000000000003</v>
      </c>
    </row>
    <row r="1371" spans="1:5">
      <c r="A1371" s="55" t="s">
        <v>2141</v>
      </c>
      <c r="B1371" s="38">
        <v>4.1239999999999997</v>
      </c>
      <c r="C1371" s="38">
        <v>4.0659999999999998</v>
      </c>
      <c r="D1371" s="38">
        <v>4.1120000000000001</v>
      </c>
      <c r="E1371" s="38">
        <v>4.3979999999999997</v>
      </c>
    </row>
    <row r="1372" spans="1:5">
      <c r="A1372" s="55" t="s">
        <v>2142</v>
      </c>
      <c r="B1372" s="38">
        <v>4.1349999999999998</v>
      </c>
      <c r="C1372" s="38">
        <v>4.0750000000000002</v>
      </c>
      <c r="D1372" s="38">
        <v>4.1319999999999997</v>
      </c>
      <c r="E1372" s="38">
        <v>4.4329999999999998</v>
      </c>
    </row>
    <row r="1373" spans="1:5">
      <c r="A1373" s="55" t="s">
        <v>2143</v>
      </c>
      <c r="B1373" s="38">
        <v>4.1070000000000002</v>
      </c>
      <c r="C1373" s="38">
        <v>4.0449999999999999</v>
      </c>
      <c r="D1373" s="38">
        <v>4.1020000000000003</v>
      </c>
      <c r="E1373" s="38">
        <v>4.4080000000000004</v>
      </c>
    </row>
    <row r="1374" spans="1:5">
      <c r="A1374" s="55" t="s">
        <v>2144</v>
      </c>
      <c r="B1374" s="38">
        <v>4.0780000000000003</v>
      </c>
      <c r="C1374" s="38">
        <v>4.016</v>
      </c>
      <c r="D1374" s="38">
        <v>4.0720000000000001</v>
      </c>
      <c r="E1374" s="38">
        <v>4.3680000000000003</v>
      </c>
    </row>
    <row r="1375" spans="1:5">
      <c r="A1375" s="55" t="s">
        <v>2145</v>
      </c>
      <c r="B1375" s="38">
        <v>4.03</v>
      </c>
      <c r="C1375" s="38">
        <v>3.9660000000000002</v>
      </c>
      <c r="D1375" s="38">
        <v>4.0190000000000001</v>
      </c>
      <c r="E1375" s="38">
        <v>4.3040000000000003</v>
      </c>
    </row>
    <row r="1376" spans="1:5">
      <c r="A1376" s="55" t="s">
        <v>2146</v>
      </c>
      <c r="B1376" s="38">
        <v>3.9929999999999999</v>
      </c>
      <c r="C1376" s="38">
        <v>3.927</v>
      </c>
      <c r="D1376" s="38">
        <v>3.9729999999999999</v>
      </c>
      <c r="E1376" s="38">
        <v>4.2450000000000001</v>
      </c>
    </row>
    <row r="1377" spans="1:5">
      <c r="A1377" s="55" t="s">
        <v>2147</v>
      </c>
      <c r="B1377" s="38">
        <v>3.9729999999999999</v>
      </c>
      <c r="C1377" s="38">
        <v>3.9049999999999998</v>
      </c>
      <c r="D1377" s="38">
        <v>3.952</v>
      </c>
      <c r="E1377" s="38">
        <v>4.2249999999999996</v>
      </c>
    </row>
    <row r="1378" spans="1:5">
      <c r="A1378" s="55" t="s">
        <v>2148</v>
      </c>
      <c r="B1378" s="38">
        <v>3.9620000000000002</v>
      </c>
      <c r="C1378" s="38">
        <v>3.8929999999999998</v>
      </c>
      <c r="D1378" s="38">
        <v>3.94</v>
      </c>
      <c r="E1378" s="38">
        <v>4.22</v>
      </c>
    </row>
    <row r="1379" spans="1:5">
      <c r="A1379" s="55" t="s">
        <v>2149</v>
      </c>
      <c r="B1379" s="38">
        <v>4.0389999999999997</v>
      </c>
      <c r="C1379" s="38">
        <v>3.972</v>
      </c>
      <c r="D1379" s="38">
        <v>4.0270000000000001</v>
      </c>
      <c r="E1379" s="38">
        <v>4.3239999999999998</v>
      </c>
    </row>
    <row r="1380" spans="1:5">
      <c r="A1380" s="55" t="s">
        <v>2150</v>
      </c>
      <c r="B1380" s="38">
        <v>4.0069999999999997</v>
      </c>
      <c r="C1380" s="38">
        <v>3.9409999999999998</v>
      </c>
      <c r="D1380" s="38">
        <v>3.992</v>
      </c>
      <c r="E1380" s="38">
        <v>4.2789999999999999</v>
      </c>
    </row>
    <row r="1381" spans="1:5">
      <c r="A1381" s="55" t="s">
        <v>2151</v>
      </c>
      <c r="B1381" s="38">
        <v>3.9489999999999998</v>
      </c>
      <c r="C1381" s="38">
        <v>3.8780000000000001</v>
      </c>
      <c r="D1381" s="38">
        <v>3.9239999999999999</v>
      </c>
      <c r="E1381" s="38">
        <v>4.1900000000000004</v>
      </c>
    </row>
    <row r="1382" spans="1:5">
      <c r="A1382" s="55" t="s">
        <v>2152</v>
      </c>
      <c r="B1382" s="38">
        <v>3.8879999999999999</v>
      </c>
      <c r="C1382" s="38">
        <v>3.81</v>
      </c>
      <c r="D1382" s="38">
        <v>3.8580000000000001</v>
      </c>
      <c r="E1382" s="38">
        <v>4.1239999999999997</v>
      </c>
    </row>
    <row r="1383" spans="1:5">
      <c r="A1383" s="55" t="s">
        <v>2153</v>
      </c>
      <c r="B1383" s="38">
        <v>3.8650000000000002</v>
      </c>
      <c r="C1383" s="38">
        <v>3.79</v>
      </c>
      <c r="D1383" s="38">
        <v>3.839</v>
      </c>
      <c r="E1383" s="38">
        <v>4.1120000000000001</v>
      </c>
    </row>
    <row r="1384" spans="1:5">
      <c r="A1384" s="55" t="s">
        <v>2154</v>
      </c>
      <c r="B1384" s="38">
        <v>3.919</v>
      </c>
      <c r="C1384" s="38">
        <v>3.8439999999999999</v>
      </c>
      <c r="D1384" s="38">
        <v>3.8879999999999999</v>
      </c>
      <c r="E1384" s="38">
        <v>4.1550000000000002</v>
      </c>
    </row>
    <row r="1385" spans="1:5">
      <c r="A1385" s="55" t="s">
        <v>2155</v>
      </c>
      <c r="B1385" s="38">
        <v>3.968</v>
      </c>
      <c r="C1385" s="38">
        <v>3.895</v>
      </c>
      <c r="D1385" s="38">
        <v>3.9289999999999998</v>
      </c>
      <c r="E1385" s="38">
        <v>4.181</v>
      </c>
    </row>
    <row r="1386" spans="1:5">
      <c r="A1386" s="55" t="s">
        <v>2156</v>
      </c>
      <c r="B1386" s="38">
        <v>3.9870000000000001</v>
      </c>
      <c r="C1386" s="38">
        <v>3.9129999999999998</v>
      </c>
      <c r="D1386" s="38">
        <v>3.9470000000000001</v>
      </c>
      <c r="E1386" s="38">
        <v>4.2050000000000001</v>
      </c>
    </row>
    <row r="1387" spans="1:5">
      <c r="A1387" s="55" t="s">
        <v>2157</v>
      </c>
      <c r="B1387" s="38">
        <v>3.9889999999999999</v>
      </c>
      <c r="C1387" s="38">
        <v>3.9119999999999999</v>
      </c>
      <c r="D1387" s="38">
        <v>3.9430000000000001</v>
      </c>
      <c r="E1387" s="38">
        <v>4.2130000000000001</v>
      </c>
    </row>
    <row r="1388" spans="1:5">
      <c r="A1388" s="55" t="s">
        <v>2158</v>
      </c>
      <c r="B1388" s="38">
        <v>4.0060000000000002</v>
      </c>
      <c r="C1388" s="38">
        <v>3.9289999999999998</v>
      </c>
      <c r="D1388" s="38">
        <v>3.956</v>
      </c>
      <c r="E1388" s="38">
        <v>4.218</v>
      </c>
    </row>
    <row r="1389" spans="1:5">
      <c r="A1389" s="55" t="s">
        <v>2159</v>
      </c>
      <c r="B1389" s="38">
        <v>3.9969999999999999</v>
      </c>
      <c r="C1389" s="38">
        <v>3.9220000000000002</v>
      </c>
      <c r="D1389" s="38">
        <v>3.9409999999999998</v>
      </c>
      <c r="E1389" s="38">
        <v>4.2030000000000003</v>
      </c>
    </row>
    <row r="1390" spans="1:5">
      <c r="A1390" s="55" t="s">
        <v>2160</v>
      </c>
      <c r="B1390" s="38">
        <v>4.1749999999999998</v>
      </c>
      <c r="C1390" s="38">
        <v>4.0970000000000004</v>
      </c>
      <c r="D1390" s="38">
        <v>4.0970000000000004</v>
      </c>
      <c r="E1390" s="38">
        <v>4.3129999999999997</v>
      </c>
    </row>
    <row r="1391" spans="1:5">
      <c r="A1391" s="55" t="s">
        <v>2161</v>
      </c>
      <c r="B1391" s="38">
        <v>4.2380000000000004</v>
      </c>
      <c r="C1391" s="38">
        <v>4.1609999999999996</v>
      </c>
      <c r="D1391" s="38">
        <v>4.1680000000000001</v>
      </c>
      <c r="E1391" s="38">
        <v>4.4109999999999996</v>
      </c>
    </row>
    <row r="1392" spans="1:5">
      <c r="A1392" s="55" t="s">
        <v>2162</v>
      </c>
      <c r="B1392" s="38">
        <v>4.1449999999999996</v>
      </c>
      <c r="C1392" s="38">
        <v>4.0739999999999998</v>
      </c>
      <c r="D1392" s="38">
        <v>4.077</v>
      </c>
      <c r="E1392" s="38">
        <v>4.3120000000000003</v>
      </c>
    </row>
    <row r="1393" spans="1:5">
      <c r="A1393" s="55" t="s">
        <v>2163</v>
      </c>
      <c r="B1393" s="38">
        <v>4.1849999999999996</v>
      </c>
      <c r="C1393" s="38">
        <v>4.12</v>
      </c>
      <c r="D1393" s="38">
        <v>4.1349999999999998</v>
      </c>
      <c r="E1393" s="38">
        <v>4.3849999999999998</v>
      </c>
    </row>
    <row r="1394" spans="1:5">
      <c r="A1394" s="55" t="s">
        <v>2164</v>
      </c>
      <c r="B1394" s="38">
        <v>4.194</v>
      </c>
      <c r="C1394" s="38">
        <v>4.13</v>
      </c>
      <c r="D1394" s="38">
        <v>4.1470000000000002</v>
      </c>
      <c r="E1394" s="38">
        <v>4.41</v>
      </c>
    </row>
    <row r="1395" spans="1:5">
      <c r="A1395" s="55" t="s">
        <v>2165</v>
      </c>
      <c r="B1395" s="38">
        <v>4.2149999999999999</v>
      </c>
      <c r="C1395" s="38">
        <v>4.149</v>
      </c>
      <c r="D1395" s="38">
        <v>4.1660000000000004</v>
      </c>
      <c r="E1395" s="38">
        <v>4.43</v>
      </c>
    </row>
    <row r="1396" spans="1:5">
      <c r="A1396" s="55" t="s">
        <v>2166</v>
      </c>
      <c r="B1396" s="38">
        <v>4.2169999999999996</v>
      </c>
      <c r="C1396" s="38">
        <v>4.1520000000000001</v>
      </c>
      <c r="D1396" s="38">
        <v>4.1630000000000003</v>
      </c>
      <c r="E1396" s="38">
        <v>4.4160000000000004</v>
      </c>
    </row>
    <row r="1397" spans="1:5">
      <c r="A1397" s="55" t="s">
        <v>2167</v>
      </c>
      <c r="B1397" s="38">
        <v>4.2160000000000002</v>
      </c>
      <c r="C1397" s="38">
        <v>4.1500000000000004</v>
      </c>
      <c r="D1397" s="38">
        <v>4.165</v>
      </c>
      <c r="E1397" s="38">
        <v>4.4050000000000002</v>
      </c>
    </row>
    <row r="1398" spans="1:5">
      <c r="A1398" s="55" t="s">
        <v>2168</v>
      </c>
      <c r="B1398" s="38">
        <v>4.1820000000000004</v>
      </c>
      <c r="C1398" s="38">
        <v>4.1109999999999998</v>
      </c>
      <c r="D1398" s="38">
        <v>4.125</v>
      </c>
      <c r="E1398" s="38">
        <v>4.3620000000000001</v>
      </c>
    </row>
    <row r="1399" spans="1:5">
      <c r="A1399" s="55" t="s">
        <v>2169</v>
      </c>
      <c r="B1399" s="38">
        <v>4.1740000000000004</v>
      </c>
      <c r="C1399" s="38">
        <v>4.1020000000000003</v>
      </c>
      <c r="D1399" s="38">
        <v>4.1139999999999999</v>
      </c>
      <c r="E1399" s="38">
        <v>4.3479999999999999</v>
      </c>
    </row>
    <row r="1400" spans="1:5">
      <c r="A1400" s="55" t="s">
        <v>2170</v>
      </c>
      <c r="B1400" s="38">
        <v>4.1459999999999999</v>
      </c>
      <c r="C1400" s="38">
        <v>4.0739999999999998</v>
      </c>
      <c r="D1400" s="38">
        <v>4.0910000000000002</v>
      </c>
      <c r="E1400" s="38">
        <v>4.3479999999999999</v>
      </c>
    </row>
    <row r="1401" spans="1:5">
      <c r="A1401" s="55" t="s">
        <v>2171</v>
      </c>
      <c r="B1401" s="38">
        <v>4.1749999999999998</v>
      </c>
      <c r="C1401" s="38">
        <v>4.1020000000000003</v>
      </c>
      <c r="D1401" s="38">
        <v>4.1189999999999998</v>
      </c>
      <c r="E1401" s="38">
        <v>4.3769999999999998</v>
      </c>
    </row>
    <row r="1402" spans="1:5">
      <c r="A1402" s="55" t="s">
        <v>2172</v>
      </c>
      <c r="B1402" s="38">
        <v>4.1210000000000004</v>
      </c>
      <c r="C1402" s="38">
        <v>4.0460000000000003</v>
      </c>
      <c r="D1402" s="38">
        <v>4.0659999999999998</v>
      </c>
      <c r="E1402" s="38">
        <v>4.3280000000000003</v>
      </c>
    </row>
    <row r="1403" spans="1:5">
      <c r="A1403" s="55" t="s">
        <v>2173</v>
      </c>
      <c r="B1403" s="38">
        <v>4.1109999999999998</v>
      </c>
      <c r="C1403" s="38">
        <v>4.0359999999999996</v>
      </c>
      <c r="D1403" s="38">
        <v>4.0629999999999997</v>
      </c>
      <c r="E1403" s="38">
        <v>4.3280000000000003</v>
      </c>
    </row>
    <row r="1404" spans="1:5">
      <c r="A1404" s="55" t="s">
        <v>2174</v>
      </c>
      <c r="B1404" s="38">
        <v>4.0419999999999998</v>
      </c>
      <c r="C1404" s="38">
        <v>3.9580000000000002</v>
      </c>
      <c r="D1404" s="38">
        <v>3.9830000000000001</v>
      </c>
      <c r="E1404" s="38">
        <v>4.2549999999999999</v>
      </c>
    </row>
    <row r="1405" spans="1:5">
      <c r="A1405" s="55" t="s">
        <v>2175</v>
      </c>
      <c r="B1405" s="38">
        <v>4.0469999999999997</v>
      </c>
      <c r="C1405" s="38">
        <v>3.9590000000000001</v>
      </c>
      <c r="D1405" s="38">
        <v>3.9820000000000002</v>
      </c>
      <c r="E1405" s="38">
        <v>4.26</v>
      </c>
    </row>
    <row r="1406" spans="1:5">
      <c r="A1406" s="55" t="s">
        <v>2176</v>
      </c>
      <c r="B1406" s="38">
        <v>4.0650000000000004</v>
      </c>
      <c r="C1406" s="38">
        <v>3.9750000000000001</v>
      </c>
      <c r="D1406" s="38">
        <v>3.9910000000000001</v>
      </c>
      <c r="E1406" s="38">
        <v>4.2439999999999998</v>
      </c>
    </row>
    <row r="1407" spans="1:5">
      <c r="A1407" s="55" t="s">
        <v>2177</v>
      </c>
      <c r="B1407" s="38">
        <v>4.0830000000000002</v>
      </c>
      <c r="C1407" s="38">
        <v>3.9950000000000001</v>
      </c>
      <c r="D1407" s="38">
        <v>4.0149999999999997</v>
      </c>
      <c r="E1407" s="38">
        <v>4.2889999999999997</v>
      </c>
    </row>
    <row r="1408" spans="1:5">
      <c r="A1408" s="55" t="s">
        <v>2178</v>
      </c>
      <c r="B1408" s="38">
        <v>4.093</v>
      </c>
      <c r="C1408" s="38">
        <v>4.0039999999999996</v>
      </c>
      <c r="D1408" s="38">
        <v>4.03</v>
      </c>
      <c r="E1408" s="38">
        <v>4.3129999999999997</v>
      </c>
    </row>
    <row r="1409" spans="1:5">
      <c r="A1409" s="55" t="s">
        <v>2179</v>
      </c>
      <c r="B1409" s="38">
        <v>4.1319999999999997</v>
      </c>
      <c r="C1409" s="38">
        <v>4.0419999999999998</v>
      </c>
      <c r="D1409" s="38">
        <v>4.07</v>
      </c>
      <c r="E1409" s="38">
        <v>4.3540000000000001</v>
      </c>
    </row>
    <row r="1410" spans="1:5">
      <c r="A1410" s="55" t="s">
        <v>2180</v>
      </c>
      <c r="B1410" s="38">
        <v>4.1210000000000004</v>
      </c>
      <c r="C1410" s="38">
        <v>4.032</v>
      </c>
      <c r="D1410" s="38">
        <v>4.0540000000000003</v>
      </c>
      <c r="E1410" s="38">
        <v>4.3330000000000002</v>
      </c>
    </row>
    <row r="1411" spans="1:5">
      <c r="A1411" s="55" t="s">
        <v>2181</v>
      </c>
      <c r="B1411" s="38">
        <v>4.0640000000000001</v>
      </c>
      <c r="C1411" s="38">
        <v>3.9729999999999999</v>
      </c>
      <c r="D1411" s="38">
        <v>4.0060000000000002</v>
      </c>
      <c r="E1411" s="38">
        <v>4.3179999999999996</v>
      </c>
    </row>
    <row r="1412" spans="1:5">
      <c r="A1412" s="55" t="s">
        <v>2182</v>
      </c>
      <c r="B1412" s="38">
        <v>4.0590000000000002</v>
      </c>
      <c r="C1412" s="38">
        <v>3.9729999999999999</v>
      </c>
      <c r="D1412" s="38">
        <v>4.0030000000000001</v>
      </c>
      <c r="E1412" s="38">
        <v>4.3129999999999997</v>
      </c>
    </row>
    <row r="1413" spans="1:5">
      <c r="A1413" s="55" t="s">
        <v>2183</v>
      </c>
      <c r="B1413" s="38">
        <v>4.0490000000000004</v>
      </c>
      <c r="C1413" s="38">
        <v>3.9620000000000002</v>
      </c>
      <c r="D1413" s="38">
        <v>3.99</v>
      </c>
      <c r="E1413" s="38">
        <v>4.2789999999999999</v>
      </c>
    </row>
    <row r="1414" spans="1:5">
      <c r="A1414" s="55" t="s">
        <v>2184</v>
      </c>
      <c r="B1414" s="38">
        <v>4.0549999999999997</v>
      </c>
      <c r="C1414" s="38">
        <v>3.97</v>
      </c>
      <c r="D1414" s="38">
        <v>3.9969999999999999</v>
      </c>
      <c r="E1414" s="38">
        <v>4.2839999999999998</v>
      </c>
    </row>
    <row r="1415" spans="1:5">
      <c r="A1415" s="55" t="s">
        <v>2185</v>
      </c>
      <c r="B1415" s="38">
        <v>3.831</v>
      </c>
      <c r="C1415" s="38">
        <v>3.746</v>
      </c>
      <c r="D1415" s="38">
        <v>3.79</v>
      </c>
      <c r="E1415" s="38">
        <v>4.12</v>
      </c>
    </row>
    <row r="1416" spans="1:5">
      <c r="A1416" s="55" t="s">
        <v>2186</v>
      </c>
      <c r="B1416" s="38">
        <v>3.81</v>
      </c>
      <c r="C1416" s="38">
        <v>3.726</v>
      </c>
      <c r="D1416" s="38">
        <v>3.7690000000000001</v>
      </c>
      <c r="E1416" s="38">
        <v>4.0919999999999996</v>
      </c>
    </row>
    <row r="1417" spans="1:5">
      <c r="A1417" s="55" t="s">
        <v>2187</v>
      </c>
      <c r="B1417" s="38">
        <v>3.7530000000000001</v>
      </c>
      <c r="C1417" s="38">
        <v>3.6680000000000001</v>
      </c>
      <c r="D1417" s="38">
        <v>3.7229999999999999</v>
      </c>
      <c r="E1417" s="38">
        <v>4.056</v>
      </c>
    </row>
    <row r="1418" spans="1:5">
      <c r="A1418" s="55" t="s">
        <v>2188</v>
      </c>
      <c r="B1418" s="38">
        <v>3.64</v>
      </c>
      <c r="C1418" s="38">
        <v>3.5539999999999998</v>
      </c>
      <c r="D1418" s="38">
        <v>3.6269999999999998</v>
      </c>
      <c r="E1418" s="38">
        <v>3.9830000000000001</v>
      </c>
    </row>
    <row r="1419" spans="1:5">
      <c r="A1419" s="55" t="s">
        <v>2189</v>
      </c>
      <c r="B1419" s="38">
        <v>3.706</v>
      </c>
      <c r="C1419" s="38">
        <v>3.625</v>
      </c>
      <c r="D1419" s="38">
        <v>3.69</v>
      </c>
      <c r="E1419" s="38">
        <v>4.0259999999999998</v>
      </c>
    </row>
    <row r="1420" spans="1:5">
      <c r="A1420" s="55" t="s">
        <v>2190</v>
      </c>
      <c r="B1420" s="38">
        <v>3.7509999999999999</v>
      </c>
      <c r="C1420" s="38">
        <v>3.673</v>
      </c>
      <c r="D1420" s="38">
        <v>3.74</v>
      </c>
      <c r="E1420" s="38">
        <v>4.0869999999999997</v>
      </c>
    </row>
    <row r="1421" spans="1:5">
      <c r="A1421" s="55" t="s">
        <v>2191</v>
      </c>
      <c r="B1421" s="38">
        <v>3.7170000000000001</v>
      </c>
      <c r="C1421" s="38">
        <v>3.641</v>
      </c>
      <c r="D1421" s="38">
        <v>3.7189999999999999</v>
      </c>
      <c r="E1421" s="38">
        <v>4.0759999999999996</v>
      </c>
    </row>
    <row r="1422" spans="1:5">
      <c r="A1422" s="55" t="s">
        <v>2192</v>
      </c>
      <c r="B1422" s="38">
        <v>3.7229999999999999</v>
      </c>
      <c r="C1422" s="38">
        <v>3.6469999999999998</v>
      </c>
      <c r="D1422" s="38">
        <v>3.7240000000000002</v>
      </c>
      <c r="E1422" s="38">
        <v>4.0650000000000004</v>
      </c>
    </row>
    <row r="1423" spans="1:5">
      <c r="A1423" s="55" t="s">
        <v>2193</v>
      </c>
      <c r="B1423" s="38">
        <v>3.7290000000000001</v>
      </c>
      <c r="C1423" s="38">
        <v>3.6579999999999999</v>
      </c>
      <c r="D1423" s="38">
        <v>3.726</v>
      </c>
      <c r="E1423" s="38">
        <v>4.056</v>
      </c>
    </row>
    <row r="1424" spans="1:5">
      <c r="A1424" s="55" t="s">
        <v>2194</v>
      </c>
      <c r="B1424" s="38">
        <v>3.6890000000000001</v>
      </c>
      <c r="C1424" s="38">
        <v>3.6179999999999999</v>
      </c>
      <c r="D1424" s="38">
        <v>3.6850000000000001</v>
      </c>
      <c r="E1424" s="38">
        <v>4.0119999999999996</v>
      </c>
    </row>
    <row r="1425" spans="1:5">
      <c r="A1425" s="55" t="s">
        <v>2195</v>
      </c>
      <c r="B1425" s="38">
        <v>3.5920000000000001</v>
      </c>
      <c r="C1425" s="38">
        <v>3.5230000000000001</v>
      </c>
      <c r="D1425" s="38">
        <v>3.5910000000000002</v>
      </c>
      <c r="E1425" s="38">
        <v>3.9380000000000002</v>
      </c>
    </row>
    <row r="1426" spans="1:5">
      <c r="A1426" s="55" t="s">
        <v>2196</v>
      </c>
      <c r="B1426" s="38">
        <v>3.56</v>
      </c>
      <c r="C1426" s="38">
        <v>3.4910000000000001</v>
      </c>
      <c r="D1426" s="38">
        <v>3.5550000000000002</v>
      </c>
      <c r="E1426" s="38">
        <v>3.8820000000000001</v>
      </c>
    </row>
    <row r="1427" spans="1:5">
      <c r="A1427" s="55" t="s">
        <v>2197</v>
      </c>
      <c r="B1427" s="38">
        <v>3.6259999999999999</v>
      </c>
      <c r="C1427" s="38">
        <v>3.5590000000000002</v>
      </c>
      <c r="D1427" s="38">
        <v>3.617</v>
      </c>
      <c r="E1427" s="38">
        <v>3.9369999999999998</v>
      </c>
    </row>
    <row r="1428" spans="1:5">
      <c r="A1428" s="55" t="s">
        <v>2198</v>
      </c>
      <c r="B1428" s="38">
        <v>3.6110000000000002</v>
      </c>
      <c r="C1428" s="38">
        <v>3.5470000000000002</v>
      </c>
      <c r="D1428" s="38">
        <v>3.6030000000000002</v>
      </c>
      <c r="E1428" s="38">
        <v>3.9220000000000002</v>
      </c>
    </row>
    <row r="1429" spans="1:5">
      <c r="A1429" s="55" t="s">
        <v>2199</v>
      </c>
      <c r="B1429" s="38">
        <v>3.6459999999999999</v>
      </c>
      <c r="C1429" s="38">
        <v>3.585</v>
      </c>
      <c r="D1429" s="38">
        <v>3.641</v>
      </c>
      <c r="E1429" s="38">
        <v>3.9569999999999999</v>
      </c>
    </row>
    <row r="1430" spans="1:5">
      <c r="A1430" s="55" t="s">
        <v>2200</v>
      </c>
      <c r="B1430" s="38">
        <v>3.5870000000000002</v>
      </c>
      <c r="C1430" s="38">
        <v>3.5259999999999998</v>
      </c>
      <c r="D1430" s="38">
        <v>3.5790000000000002</v>
      </c>
      <c r="E1430" s="38">
        <v>3.8980000000000001</v>
      </c>
    </row>
    <row r="1431" spans="1:5">
      <c r="A1431" s="55" t="s">
        <v>2201</v>
      </c>
      <c r="B1431" s="38">
        <v>3.5659999999999998</v>
      </c>
      <c r="C1431" s="38">
        <v>3.504</v>
      </c>
      <c r="D1431" s="38">
        <v>3.5640000000000001</v>
      </c>
      <c r="E1431" s="38">
        <v>3.8919999999999999</v>
      </c>
    </row>
    <row r="1432" spans="1:5">
      <c r="A1432" s="55" t="s">
        <v>2202</v>
      </c>
      <c r="B1432" s="38">
        <v>3.5950000000000002</v>
      </c>
      <c r="C1432" s="38">
        <v>3.5379999999999998</v>
      </c>
      <c r="D1432" s="38">
        <v>3.6019999999999999</v>
      </c>
      <c r="E1432" s="38">
        <v>3.927</v>
      </c>
    </row>
    <row r="1433" spans="1:5">
      <c r="A1433" s="55" t="s">
        <v>2203</v>
      </c>
      <c r="B1433" s="38">
        <v>3.5030000000000001</v>
      </c>
      <c r="C1433" s="38">
        <v>3.4390000000000001</v>
      </c>
      <c r="D1433" s="38">
        <v>3.5169999999999999</v>
      </c>
      <c r="E1433" s="38">
        <v>3.863</v>
      </c>
    </row>
    <row r="1434" spans="1:5">
      <c r="A1434" s="55" t="s">
        <v>2204</v>
      </c>
      <c r="B1434" s="38">
        <v>3.56</v>
      </c>
      <c r="C1434" s="38">
        <v>3.4969999999999999</v>
      </c>
      <c r="D1434" s="38">
        <v>3.5760000000000001</v>
      </c>
      <c r="E1434" s="38">
        <v>3.9169999999999998</v>
      </c>
    </row>
    <row r="1435" spans="1:5">
      <c r="A1435" s="55" t="s">
        <v>2205</v>
      </c>
      <c r="B1435" s="38">
        <v>3.601</v>
      </c>
      <c r="C1435" s="38">
        <v>3.536</v>
      </c>
      <c r="D1435" s="38">
        <v>3.6059999999999999</v>
      </c>
      <c r="E1435" s="38">
        <v>3.9369999999999998</v>
      </c>
    </row>
    <row r="1436" spans="1:5">
      <c r="A1436" s="55" t="s">
        <v>2206</v>
      </c>
      <c r="B1436" s="38">
        <v>3.6110000000000002</v>
      </c>
      <c r="C1436" s="38">
        <v>3.544</v>
      </c>
      <c r="D1436" s="38">
        <v>3.6160000000000001</v>
      </c>
      <c r="E1436" s="38">
        <v>3.9609999999999999</v>
      </c>
    </row>
    <row r="1437" spans="1:5">
      <c r="A1437" s="55" t="s">
        <v>2207</v>
      </c>
      <c r="B1437" s="38">
        <v>3.6160000000000001</v>
      </c>
      <c r="C1437" s="38">
        <v>3.5430000000000001</v>
      </c>
      <c r="D1437" s="38">
        <v>3.6160000000000001</v>
      </c>
      <c r="E1437" s="38">
        <v>3.976</v>
      </c>
    </row>
    <row r="1438" spans="1:5">
      <c r="A1438" s="55" t="s">
        <v>2208</v>
      </c>
      <c r="B1438" s="38">
        <v>3.6749999999999998</v>
      </c>
      <c r="C1438" s="38">
        <v>3.597</v>
      </c>
      <c r="D1438" s="38">
        <v>3.6680000000000001</v>
      </c>
      <c r="E1438" s="38">
        <v>4.0209999999999999</v>
      </c>
    </row>
    <row r="1439" spans="1:5">
      <c r="A1439" s="55" t="s">
        <v>2209</v>
      </c>
      <c r="B1439" s="38">
        <v>3.665</v>
      </c>
      <c r="C1439" s="38">
        <v>3.5870000000000002</v>
      </c>
      <c r="D1439" s="38">
        <v>3.6560000000000001</v>
      </c>
      <c r="E1439" s="38">
        <v>4.0110000000000001</v>
      </c>
    </row>
    <row r="1440" spans="1:5">
      <c r="A1440" s="55" t="s">
        <v>2210</v>
      </c>
      <c r="B1440" s="38">
        <v>3.637</v>
      </c>
      <c r="C1440" s="38">
        <v>3.5569999999999999</v>
      </c>
      <c r="D1440" s="38">
        <v>3.6160000000000001</v>
      </c>
      <c r="E1440" s="38">
        <v>3.9609999999999999</v>
      </c>
    </row>
    <row r="1441" spans="1:5">
      <c r="A1441" s="55" t="s">
        <v>2211</v>
      </c>
      <c r="B1441" s="38">
        <v>3.609</v>
      </c>
      <c r="C1441" s="38">
        <v>3.5259999999999998</v>
      </c>
      <c r="D1441" s="38">
        <v>3.585</v>
      </c>
      <c r="E1441" s="38">
        <v>3.9359999999999999</v>
      </c>
    </row>
    <row r="1442" spans="1:5">
      <c r="A1442" s="55" t="s">
        <v>2212</v>
      </c>
      <c r="B1442" s="38">
        <v>3.5680000000000001</v>
      </c>
      <c r="C1442" s="38">
        <v>3.4870000000000001</v>
      </c>
      <c r="D1442" s="38">
        <v>3.5419999999999998</v>
      </c>
      <c r="E1442" s="38">
        <v>3.89</v>
      </c>
    </row>
    <row r="1443" spans="1:5">
      <c r="A1443" s="55" t="s">
        <v>2213</v>
      </c>
      <c r="B1443" s="38">
        <v>3.6150000000000002</v>
      </c>
      <c r="C1443" s="38">
        <v>3.536</v>
      </c>
      <c r="D1443" s="38">
        <v>3.6</v>
      </c>
      <c r="E1443" s="38">
        <v>3.9660000000000002</v>
      </c>
    </row>
    <row r="1444" spans="1:5">
      <c r="A1444" s="55" t="s">
        <v>2214</v>
      </c>
      <c r="B1444" s="38">
        <v>3.5910000000000002</v>
      </c>
      <c r="C1444" s="38">
        <v>3.51</v>
      </c>
      <c r="D1444" s="38">
        <v>3.5649999999999999</v>
      </c>
      <c r="E1444" s="38">
        <v>3.9180000000000001</v>
      </c>
    </row>
    <row r="1445" spans="1:5">
      <c r="A1445" s="55" t="s">
        <v>2215</v>
      </c>
      <c r="B1445" s="38">
        <v>3.548</v>
      </c>
      <c r="C1445" s="38">
        <v>3.4660000000000002</v>
      </c>
      <c r="D1445" s="38">
        <v>3.5169999999999999</v>
      </c>
      <c r="E1445" s="38">
        <v>3.859</v>
      </c>
    </row>
    <row r="1446" spans="1:5">
      <c r="A1446" s="55" t="s">
        <v>2216</v>
      </c>
      <c r="B1446" s="38">
        <v>3.573</v>
      </c>
      <c r="C1446" s="38">
        <v>3.4910000000000001</v>
      </c>
      <c r="D1446" s="38">
        <v>3.5350000000000001</v>
      </c>
      <c r="E1446" s="38">
        <v>3.863</v>
      </c>
    </row>
    <row r="1447" spans="1:5">
      <c r="A1447" s="55" t="s">
        <v>2217</v>
      </c>
      <c r="B1447" s="38">
        <v>3.5030000000000001</v>
      </c>
      <c r="C1447" s="38">
        <v>3.4209999999999998</v>
      </c>
      <c r="D1447" s="38">
        <v>3.4710000000000001</v>
      </c>
      <c r="E1447" s="38">
        <v>3.827</v>
      </c>
    </row>
    <row r="1448" spans="1:5">
      <c r="A1448" s="55" t="s">
        <v>2218</v>
      </c>
      <c r="B1448" s="38">
        <v>3.476</v>
      </c>
      <c r="C1448" s="38">
        <v>3.3969999999999998</v>
      </c>
      <c r="D1448" s="38">
        <v>3.448</v>
      </c>
      <c r="E1448" s="38">
        <v>3.823</v>
      </c>
    </row>
    <row r="1449" spans="1:5">
      <c r="A1449" s="55" t="s">
        <v>2219</v>
      </c>
      <c r="B1449" s="38">
        <v>3.4940000000000002</v>
      </c>
      <c r="C1449" s="38">
        <v>3.4169999999999998</v>
      </c>
      <c r="D1449" s="38">
        <v>3.4710000000000001</v>
      </c>
      <c r="E1449" s="38">
        <v>3.843</v>
      </c>
    </row>
    <row r="1450" spans="1:5">
      <c r="A1450" s="55" t="s">
        <v>2220</v>
      </c>
      <c r="B1450" s="38">
        <v>3.5190000000000001</v>
      </c>
      <c r="C1450" s="38">
        <v>3.4470000000000001</v>
      </c>
      <c r="D1450" s="38">
        <v>3.504</v>
      </c>
      <c r="E1450" s="38">
        <v>3.8719999999999999</v>
      </c>
    </row>
    <row r="1451" spans="1:5">
      <c r="A1451" s="55" t="s">
        <v>2221</v>
      </c>
      <c r="B1451" s="38">
        <v>3.59</v>
      </c>
      <c r="C1451" s="38">
        <v>3.5179999999999998</v>
      </c>
      <c r="D1451" s="38">
        <v>3.577</v>
      </c>
      <c r="E1451" s="38">
        <v>3.9390000000000001</v>
      </c>
    </row>
    <row r="1452" spans="1:5">
      <c r="A1452" s="55" t="s">
        <v>2222</v>
      </c>
      <c r="B1452" s="38">
        <v>3.569</v>
      </c>
      <c r="C1452" s="38">
        <v>3.4969999999999999</v>
      </c>
      <c r="D1452" s="38">
        <v>3.56</v>
      </c>
      <c r="E1452" s="38">
        <v>3.93</v>
      </c>
    </row>
    <row r="1453" spans="1:5">
      <c r="A1453" s="55" t="s">
        <v>2223</v>
      </c>
      <c r="B1453" s="38">
        <v>3.6</v>
      </c>
      <c r="C1453" s="38">
        <v>3.5329999999999999</v>
      </c>
      <c r="D1453" s="38">
        <v>3.6019999999999999</v>
      </c>
      <c r="E1453" s="38">
        <v>3.968</v>
      </c>
    </row>
    <row r="1454" spans="1:5">
      <c r="A1454" s="55" t="s">
        <v>2224</v>
      </c>
      <c r="B1454" s="38">
        <v>3.4849999999999999</v>
      </c>
      <c r="C1454" s="38">
        <v>3.4249999999999998</v>
      </c>
      <c r="D1454" s="38">
        <v>3.5049999999999999</v>
      </c>
      <c r="E1454" s="38">
        <v>3.9</v>
      </c>
    </row>
    <row r="1455" spans="1:5">
      <c r="A1455" s="55" t="s">
        <v>2225</v>
      </c>
      <c r="B1455" s="38">
        <v>3.51</v>
      </c>
      <c r="C1455" s="38">
        <v>3.4540000000000002</v>
      </c>
      <c r="D1455" s="38">
        <v>3.5339999999999998</v>
      </c>
      <c r="E1455" s="38">
        <v>3.919</v>
      </c>
    </row>
    <row r="1456" spans="1:5">
      <c r="A1456" s="55" t="s">
        <v>2226</v>
      </c>
      <c r="B1456" s="38">
        <v>3.5470000000000002</v>
      </c>
      <c r="C1456" s="38">
        <v>3.49</v>
      </c>
      <c r="D1456" s="38">
        <v>3.5710000000000002</v>
      </c>
      <c r="E1456" s="38">
        <v>3.952</v>
      </c>
    </row>
    <row r="1457" spans="1:5">
      <c r="A1457" s="55" t="s">
        <v>2227</v>
      </c>
      <c r="B1457" s="38">
        <v>3.5739999999999998</v>
      </c>
      <c r="C1457" s="38">
        <v>3.5169999999999999</v>
      </c>
      <c r="D1457" s="38">
        <v>3.5990000000000002</v>
      </c>
      <c r="E1457" s="38">
        <v>3.972</v>
      </c>
    </row>
    <row r="1458" spans="1:5">
      <c r="A1458" s="55" t="s">
        <v>2228</v>
      </c>
      <c r="B1458" s="38">
        <v>3.5830000000000002</v>
      </c>
      <c r="C1458" s="38">
        <v>3.528</v>
      </c>
      <c r="D1458" s="38">
        <v>3.6120000000000001</v>
      </c>
      <c r="E1458" s="38">
        <v>3.9870000000000001</v>
      </c>
    </row>
    <row r="1459" spans="1:5">
      <c r="A1459" s="55" t="s">
        <v>2229</v>
      </c>
      <c r="B1459" s="38">
        <v>3.6059999999999999</v>
      </c>
      <c r="C1459" s="38">
        <v>3.552</v>
      </c>
      <c r="D1459" s="38">
        <v>3.6349999999999998</v>
      </c>
      <c r="E1459" s="38">
        <v>3.996</v>
      </c>
    </row>
    <row r="1460" spans="1:5">
      <c r="A1460" s="55" t="s">
        <v>2230</v>
      </c>
      <c r="B1460" s="38">
        <v>3.5569999999999999</v>
      </c>
      <c r="C1460" s="38">
        <v>3.5009999999999999</v>
      </c>
      <c r="D1460" s="38">
        <v>3.5819999999999999</v>
      </c>
      <c r="E1460" s="38">
        <v>3.9409999999999998</v>
      </c>
    </row>
    <row r="1461" spans="1:5">
      <c r="A1461" s="55" t="s">
        <v>2231</v>
      </c>
      <c r="B1461" s="38">
        <v>3.5979999999999999</v>
      </c>
      <c r="C1461" s="38">
        <v>3.5470000000000002</v>
      </c>
      <c r="D1461" s="38">
        <v>3.6280000000000001</v>
      </c>
      <c r="E1461" s="38">
        <v>4</v>
      </c>
    </row>
    <row r="1462" spans="1:5">
      <c r="A1462" s="55" t="s">
        <v>2232</v>
      </c>
      <c r="B1462" s="38">
        <v>3.657</v>
      </c>
      <c r="C1462" s="38">
        <v>3.613</v>
      </c>
      <c r="D1462" s="38">
        <v>3.698</v>
      </c>
      <c r="E1462" s="38">
        <v>4.0629999999999997</v>
      </c>
    </row>
    <row r="1463" spans="1:5">
      <c r="A1463" s="55" t="s">
        <v>2233</v>
      </c>
      <c r="B1463" s="38">
        <v>3.7770000000000001</v>
      </c>
      <c r="C1463" s="38">
        <v>3.73</v>
      </c>
      <c r="D1463" s="38">
        <v>3.8079999999999998</v>
      </c>
      <c r="E1463" s="38">
        <v>4.1550000000000002</v>
      </c>
    </row>
    <row r="1464" spans="1:5">
      <c r="A1464" s="55" t="s">
        <v>2234</v>
      </c>
      <c r="B1464" s="38">
        <v>3.79</v>
      </c>
      <c r="C1464" s="38">
        <v>3.7389999999999999</v>
      </c>
      <c r="D1464" s="38">
        <v>3.8220000000000001</v>
      </c>
      <c r="E1464" s="38">
        <v>4.181</v>
      </c>
    </row>
    <row r="1465" spans="1:5">
      <c r="A1465" s="55" t="s">
        <v>2235</v>
      </c>
      <c r="B1465" s="38">
        <v>3.8340000000000001</v>
      </c>
      <c r="C1465" s="38">
        <v>3.7850000000000001</v>
      </c>
      <c r="D1465" s="38">
        <v>3.8660000000000001</v>
      </c>
      <c r="E1465" s="38">
        <v>4.2140000000000004</v>
      </c>
    </row>
    <row r="1466" spans="1:5">
      <c r="A1466" s="55" t="s">
        <v>2236</v>
      </c>
      <c r="B1466" s="38">
        <v>3.82</v>
      </c>
      <c r="C1466" s="38">
        <v>3.7749999999999999</v>
      </c>
      <c r="D1466" s="38">
        <v>3.859</v>
      </c>
      <c r="E1466" s="38">
        <v>4.22</v>
      </c>
    </row>
    <row r="1467" spans="1:5">
      <c r="A1467" s="55" t="s">
        <v>2237</v>
      </c>
      <c r="B1467" s="38">
        <v>3.85</v>
      </c>
      <c r="C1467" s="38">
        <v>3.8039999999999998</v>
      </c>
      <c r="D1467" s="38">
        <v>3.8929999999999998</v>
      </c>
      <c r="E1467" s="38">
        <v>4.2640000000000002</v>
      </c>
    </row>
    <row r="1468" spans="1:5">
      <c r="A1468" s="55" t="s">
        <v>2238</v>
      </c>
      <c r="B1468" s="38">
        <v>3.8370000000000002</v>
      </c>
      <c r="C1468" s="38">
        <v>3.7930000000000001</v>
      </c>
      <c r="D1468" s="38">
        <v>3.8809999999999998</v>
      </c>
      <c r="E1468" s="38">
        <v>4.2439999999999998</v>
      </c>
    </row>
    <row r="1469" spans="1:5">
      <c r="A1469" s="55" t="s">
        <v>2239</v>
      </c>
      <c r="B1469" s="38">
        <v>3.7970000000000002</v>
      </c>
      <c r="C1469" s="38">
        <v>3.754</v>
      </c>
      <c r="D1469" s="38">
        <v>3.8380000000000001</v>
      </c>
      <c r="E1469" s="38">
        <v>4.1959999999999997</v>
      </c>
    </row>
    <row r="1470" spans="1:5">
      <c r="A1470" s="55" t="s">
        <v>2240</v>
      </c>
      <c r="B1470" s="38">
        <v>3.8490000000000002</v>
      </c>
      <c r="C1470" s="38">
        <v>3.8090000000000002</v>
      </c>
      <c r="D1470" s="38">
        <v>3.8879999999999999</v>
      </c>
      <c r="E1470" s="38">
        <v>4.2389999999999999</v>
      </c>
    </row>
    <row r="1471" spans="1:5">
      <c r="A1471" s="55" t="s">
        <v>2241</v>
      </c>
      <c r="B1471" s="38">
        <v>3.8860000000000001</v>
      </c>
      <c r="C1471" s="38">
        <v>3.8460000000000001</v>
      </c>
      <c r="D1471" s="38">
        <v>3.9279999999999999</v>
      </c>
      <c r="E1471" s="38">
        <v>4.298</v>
      </c>
    </row>
    <row r="1472" spans="1:5">
      <c r="A1472" s="55" t="s">
        <v>2242</v>
      </c>
      <c r="B1472" s="38">
        <v>3.8540000000000001</v>
      </c>
      <c r="C1472" s="38">
        <v>3.8149999999999999</v>
      </c>
      <c r="D1472" s="38">
        <v>3.8959999999999999</v>
      </c>
      <c r="E1472" s="38">
        <v>4.2640000000000002</v>
      </c>
    </row>
    <row r="1473" spans="1:5">
      <c r="A1473" s="55" t="s">
        <v>2243</v>
      </c>
      <c r="B1473" s="38">
        <v>3.9670000000000001</v>
      </c>
      <c r="C1473" s="38">
        <v>3.931</v>
      </c>
      <c r="D1473" s="38">
        <v>4.0199999999999996</v>
      </c>
      <c r="E1473" s="38">
        <v>4.423</v>
      </c>
    </row>
    <row r="1474" spans="1:5">
      <c r="A1474" s="55" t="s">
        <v>2244</v>
      </c>
      <c r="B1474" s="38">
        <v>3.984</v>
      </c>
      <c r="C1474" s="38">
        <v>3.9590000000000001</v>
      </c>
      <c r="D1474" s="38">
        <v>4.0519999999999996</v>
      </c>
      <c r="E1474" s="38">
        <v>4.4569999999999999</v>
      </c>
    </row>
    <row r="1475" spans="1:5">
      <c r="A1475" s="55" t="s">
        <v>2245</v>
      </c>
      <c r="B1475" s="38">
        <v>3.9590000000000001</v>
      </c>
      <c r="C1475" s="38">
        <v>3.9369999999999998</v>
      </c>
      <c r="D1475" s="38">
        <v>4.0330000000000004</v>
      </c>
      <c r="E1475" s="38">
        <v>4.4420000000000002</v>
      </c>
    </row>
    <row r="1476" spans="1:5">
      <c r="A1476" s="55" t="s">
        <v>2246</v>
      </c>
      <c r="B1476" s="38">
        <v>3.9279999999999999</v>
      </c>
      <c r="C1476" s="38">
        <v>3.907</v>
      </c>
      <c r="D1476" s="38">
        <v>4.0030000000000001</v>
      </c>
      <c r="E1476" s="38">
        <v>4.4029999999999996</v>
      </c>
    </row>
    <row r="1477" spans="1:5">
      <c r="A1477" s="55" t="s">
        <v>2247</v>
      </c>
      <c r="B1477" s="38">
        <v>3.9950000000000001</v>
      </c>
      <c r="C1477" s="38">
        <v>3.976</v>
      </c>
      <c r="D1477" s="38">
        <v>4.0739999999999998</v>
      </c>
      <c r="E1477" s="38">
        <v>4.4720000000000004</v>
      </c>
    </row>
    <row r="1478" spans="1:5">
      <c r="A1478" s="55" t="s">
        <v>2248</v>
      </c>
      <c r="B1478" s="38">
        <v>3.9689999999999999</v>
      </c>
      <c r="C1478" s="38">
        <v>3.9470000000000001</v>
      </c>
      <c r="D1478" s="38">
        <v>4.0439999999999996</v>
      </c>
      <c r="E1478" s="38">
        <v>4.4379999999999997</v>
      </c>
    </row>
    <row r="1479" spans="1:5">
      <c r="A1479" s="55" t="s">
        <v>2249</v>
      </c>
      <c r="B1479" s="38">
        <v>3.9870000000000001</v>
      </c>
      <c r="C1479" s="38">
        <v>3.964</v>
      </c>
      <c r="D1479" s="38">
        <v>4.0629999999999997</v>
      </c>
      <c r="E1479" s="38">
        <v>4.4580000000000002</v>
      </c>
    </row>
    <row r="1480" spans="1:5">
      <c r="A1480" s="55" t="s">
        <v>2250</v>
      </c>
      <c r="B1480" s="38">
        <v>4.0380000000000003</v>
      </c>
      <c r="C1480" s="38">
        <v>4.0199999999999996</v>
      </c>
      <c r="D1480" s="38">
        <v>4.1159999999999997</v>
      </c>
      <c r="E1480" s="38">
        <v>4.4960000000000004</v>
      </c>
    </row>
    <row r="1481" spans="1:5">
      <c r="A1481" s="55" t="s">
        <v>2251</v>
      </c>
      <c r="B1481" s="38">
        <v>4.0570000000000004</v>
      </c>
      <c r="C1481" s="38">
        <v>4.0469999999999997</v>
      </c>
      <c r="D1481" s="38">
        <v>4.1449999999999996</v>
      </c>
      <c r="E1481" s="38">
        <v>4.5309999999999997</v>
      </c>
    </row>
    <row r="1482" spans="1:5">
      <c r="A1482" s="55" t="s">
        <v>2252</v>
      </c>
      <c r="B1482" s="38">
        <v>4.0529999999999999</v>
      </c>
      <c r="C1482" s="38">
        <v>4.0460000000000003</v>
      </c>
      <c r="D1482" s="38">
        <v>4.1500000000000004</v>
      </c>
      <c r="E1482" s="38">
        <v>4.5519999999999996</v>
      </c>
    </row>
    <row r="1483" spans="1:5">
      <c r="A1483" s="55" t="s">
        <v>2253</v>
      </c>
      <c r="B1483" s="38">
        <v>4.077</v>
      </c>
      <c r="C1483" s="38">
        <v>4.08</v>
      </c>
      <c r="D1483" s="38">
        <v>4.1829999999999998</v>
      </c>
      <c r="E1483" s="38">
        <v>4.556</v>
      </c>
    </row>
    <row r="1484" spans="1:5">
      <c r="A1484" s="55" t="s">
        <v>2254</v>
      </c>
      <c r="B1484" s="38">
        <v>4.1210000000000004</v>
      </c>
      <c r="C1484" s="38">
        <v>4.1280000000000001</v>
      </c>
      <c r="D1484" s="38">
        <v>4.2350000000000003</v>
      </c>
      <c r="E1484" s="38">
        <v>4.6210000000000004</v>
      </c>
    </row>
    <row r="1485" spans="1:5">
      <c r="A1485" s="55" t="s">
        <v>2255</v>
      </c>
      <c r="B1485" s="38">
        <v>4.1189999999999998</v>
      </c>
      <c r="C1485" s="38">
        <v>4.1280000000000001</v>
      </c>
      <c r="D1485" s="38">
        <v>4.2370000000000001</v>
      </c>
      <c r="E1485" s="38">
        <v>4.63</v>
      </c>
    </row>
    <row r="1486" spans="1:5">
      <c r="A1486" s="55" t="s">
        <v>2256</v>
      </c>
      <c r="B1486" s="38">
        <v>4.0750000000000002</v>
      </c>
      <c r="C1486" s="38">
        <v>4.08</v>
      </c>
      <c r="D1486" s="38">
        <v>4.1829999999999998</v>
      </c>
      <c r="E1486" s="38">
        <v>4.5709999999999997</v>
      </c>
    </row>
    <row r="1487" spans="1:5">
      <c r="A1487" s="55" t="s">
        <v>2257</v>
      </c>
      <c r="B1487" s="38">
        <v>4.0940000000000003</v>
      </c>
      <c r="C1487" s="38">
        <v>4.0999999999999996</v>
      </c>
      <c r="D1487" s="38">
        <v>4.1980000000000004</v>
      </c>
      <c r="E1487" s="38">
        <v>4.5709999999999997</v>
      </c>
    </row>
    <row r="1488" spans="1:5">
      <c r="A1488" s="55" t="s">
        <v>2258</v>
      </c>
      <c r="B1488" s="38">
        <v>4.1029999999999998</v>
      </c>
      <c r="C1488" s="38">
        <v>4.1100000000000003</v>
      </c>
      <c r="D1488" s="38">
        <v>4.202</v>
      </c>
      <c r="E1488" s="38">
        <v>4.5570000000000004</v>
      </c>
    </row>
    <row r="1489" spans="1:5">
      <c r="A1489" s="55" t="s">
        <v>2259</v>
      </c>
      <c r="B1489" s="38">
        <v>4.2030000000000003</v>
      </c>
      <c r="C1489" s="38">
        <v>4.2160000000000002</v>
      </c>
      <c r="D1489" s="38">
        <v>4.3120000000000003</v>
      </c>
      <c r="E1489" s="38">
        <v>4.6609999999999996</v>
      </c>
    </row>
    <row r="1490" spans="1:5">
      <c r="A1490" s="55" t="s">
        <v>2260</v>
      </c>
      <c r="B1490" s="38">
        <v>4.1920000000000002</v>
      </c>
      <c r="C1490" s="38">
        <v>4.2050000000000001</v>
      </c>
      <c r="D1490" s="38">
        <v>4.3090000000000002</v>
      </c>
      <c r="E1490" s="38">
        <v>4.6909999999999998</v>
      </c>
    </row>
    <row r="1491" spans="1:5">
      <c r="A1491" s="55" t="s">
        <v>2261</v>
      </c>
      <c r="B1491" s="38">
        <v>4.1589999999999998</v>
      </c>
      <c r="C1491" s="38">
        <v>4.165</v>
      </c>
      <c r="D1491" s="38">
        <v>4.2619999999999996</v>
      </c>
      <c r="E1491" s="38">
        <v>4.6310000000000002</v>
      </c>
    </row>
    <row r="1492" spans="1:5">
      <c r="A1492" s="55" t="s">
        <v>2262</v>
      </c>
      <c r="B1492" s="38">
        <v>4.1180000000000003</v>
      </c>
      <c r="C1492" s="38">
        <v>4.117</v>
      </c>
      <c r="D1492" s="38">
        <v>4.2169999999999996</v>
      </c>
      <c r="E1492" s="38">
        <v>4.5970000000000004</v>
      </c>
    </row>
    <row r="1493" spans="1:5">
      <c r="A1493" s="55" t="s">
        <v>2263</v>
      </c>
      <c r="B1493" s="38">
        <v>4.0830000000000002</v>
      </c>
      <c r="C1493" s="38">
        <v>4.0780000000000003</v>
      </c>
      <c r="D1493" s="38">
        <v>4.1769999999999996</v>
      </c>
      <c r="E1493" s="38">
        <v>4.5579999999999998</v>
      </c>
    </row>
    <row r="1494" spans="1:5">
      <c r="A1494" s="55" t="s">
        <v>2264</v>
      </c>
      <c r="B1494" s="38">
        <v>4.0830000000000002</v>
      </c>
      <c r="C1494" s="38">
        <v>4.0759999999999996</v>
      </c>
      <c r="D1494" s="38">
        <v>4.1719999999999997</v>
      </c>
      <c r="E1494" s="38">
        <v>4.5519999999999996</v>
      </c>
    </row>
    <row r="1495" spans="1:5">
      <c r="A1495" s="55" t="s">
        <v>2265</v>
      </c>
      <c r="B1495" s="38">
        <v>4.1079999999999997</v>
      </c>
      <c r="C1495" s="38">
        <v>4.1040000000000001</v>
      </c>
      <c r="D1495" s="38">
        <v>4.1989999999999998</v>
      </c>
      <c r="E1495" s="38">
        <v>4.5730000000000004</v>
      </c>
    </row>
    <row r="1496" spans="1:5">
      <c r="A1496" s="55" t="s">
        <v>2266</v>
      </c>
      <c r="B1496" s="38">
        <v>4.077</v>
      </c>
      <c r="C1496" s="38">
        <v>4.0720000000000001</v>
      </c>
      <c r="D1496" s="38">
        <v>4.16</v>
      </c>
      <c r="E1496" s="38">
        <v>4.5389999999999997</v>
      </c>
    </row>
    <row r="1497" spans="1:5">
      <c r="A1497" s="55" t="s">
        <v>2267</v>
      </c>
      <c r="B1497" s="38">
        <v>4.0449999999999999</v>
      </c>
      <c r="C1497" s="38">
        <v>4.0350000000000001</v>
      </c>
      <c r="D1497" s="38">
        <v>4.1150000000000002</v>
      </c>
      <c r="E1497" s="38">
        <v>4.4800000000000004</v>
      </c>
    </row>
    <row r="1498" spans="1:5">
      <c r="A1498" s="55" t="s">
        <v>2268</v>
      </c>
      <c r="B1498" s="38">
        <v>4.0060000000000002</v>
      </c>
      <c r="C1498" s="38">
        <v>3.9860000000000002</v>
      </c>
      <c r="D1498" s="38">
        <v>4.0670000000000002</v>
      </c>
      <c r="E1498" s="38">
        <v>4.4409999999999998</v>
      </c>
    </row>
    <row r="1499" spans="1:5">
      <c r="A1499" s="55" t="s">
        <v>2269</v>
      </c>
      <c r="B1499" s="38">
        <v>3.99</v>
      </c>
      <c r="C1499" s="38">
        <v>3.968</v>
      </c>
      <c r="D1499" s="38">
        <v>4.0449999999999999</v>
      </c>
      <c r="E1499" s="38">
        <v>4.4119999999999999</v>
      </c>
    </row>
    <row r="1500" spans="1:5">
      <c r="A1500" s="55" t="s">
        <v>2270</v>
      </c>
      <c r="B1500" s="38">
        <v>3.9369999999999998</v>
      </c>
      <c r="C1500" s="38">
        <v>3.91</v>
      </c>
      <c r="D1500" s="38">
        <v>3.9849999999999999</v>
      </c>
      <c r="E1500" s="38">
        <v>4.3559999999999999</v>
      </c>
    </row>
    <row r="1501" spans="1:5">
      <c r="A1501" s="55" t="s">
        <v>2271</v>
      </c>
      <c r="B1501" s="38">
        <v>3.9409999999999998</v>
      </c>
      <c r="C1501" s="38">
        <v>3.91</v>
      </c>
      <c r="D1501" s="38">
        <v>3.9750000000000001</v>
      </c>
      <c r="E1501" s="38">
        <v>4.335</v>
      </c>
    </row>
    <row r="1502" spans="1:5">
      <c r="A1502" s="55" t="s">
        <v>2272</v>
      </c>
      <c r="B1502" s="38">
        <v>3.9620000000000002</v>
      </c>
      <c r="C1502" s="38">
        <v>3.9289999999999998</v>
      </c>
      <c r="D1502" s="38">
        <v>3.9870000000000001</v>
      </c>
      <c r="E1502" s="38">
        <v>4.3310000000000004</v>
      </c>
    </row>
    <row r="1503" spans="1:5">
      <c r="A1503" s="55" t="s">
        <v>2273</v>
      </c>
      <c r="B1503" s="38">
        <v>3.9430000000000001</v>
      </c>
      <c r="C1503" s="38">
        <v>3.91</v>
      </c>
      <c r="D1503" s="38">
        <v>3.9670000000000001</v>
      </c>
      <c r="E1503" s="38">
        <v>4.3010000000000002</v>
      </c>
    </row>
    <row r="1504" spans="1:5">
      <c r="A1504" s="55" t="s">
        <v>2274</v>
      </c>
      <c r="B1504" s="38">
        <v>3.8639999999999999</v>
      </c>
      <c r="C1504" s="38">
        <v>3.831</v>
      </c>
      <c r="D1504" s="38">
        <v>3.9020000000000001</v>
      </c>
      <c r="E1504" s="38">
        <v>4.2610000000000001</v>
      </c>
    </row>
    <row r="1505" spans="1:5">
      <c r="A1505" s="55" t="s">
        <v>2275</v>
      </c>
      <c r="B1505" s="38">
        <v>3.8479999999999999</v>
      </c>
      <c r="C1505" s="38">
        <v>3.81</v>
      </c>
      <c r="D1505" s="38">
        <v>3.879</v>
      </c>
      <c r="E1505" s="38">
        <v>4.2309999999999999</v>
      </c>
    </row>
    <row r="1506" spans="1:5">
      <c r="A1506" s="55" t="s">
        <v>2276</v>
      </c>
      <c r="B1506" s="38">
        <v>3.847</v>
      </c>
      <c r="C1506" s="38">
        <v>3.8079999999999998</v>
      </c>
      <c r="D1506" s="38">
        <v>3.871</v>
      </c>
      <c r="E1506" s="38">
        <v>4.2160000000000002</v>
      </c>
    </row>
    <row r="1507" spans="1:5">
      <c r="A1507" s="55" t="s">
        <v>2277</v>
      </c>
      <c r="B1507" s="38">
        <v>3.83</v>
      </c>
      <c r="C1507" s="38">
        <v>3.7879999999999998</v>
      </c>
      <c r="D1507" s="38">
        <v>3.851</v>
      </c>
      <c r="E1507" s="38">
        <v>4.1970000000000001</v>
      </c>
    </row>
    <row r="1508" spans="1:5">
      <c r="A1508" s="55" t="s">
        <v>2278</v>
      </c>
      <c r="B1508" s="38">
        <v>3.75</v>
      </c>
      <c r="C1508" s="38">
        <v>3.7050000000000001</v>
      </c>
      <c r="D1508" s="38">
        <v>3.7759999999999998</v>
      </c>
      <c r="E1508" s="38">
        <v>4.1349999999999998</v>
      </c>
    </row>
    <row r="1509" spans="1:5">
      <c r="A1509" s="55" t="s">
        <v>2279</v>
      </c>
      <c r="B1509" s="38">
        <v>3.77</v>
      </c>
      <c r="C1509" s="38">
        <v>3.726</v>
      </c>
      <c r="D1509" s="38">
        <v>3.8039999999999998</v>
      </c>
      <c r="E1509" s="38">
        <v>4.1840000000000002</v>
      </c>
    </row>
    <row r="1510" spans="1:5">
      <c r="A1510" s="55" t="s">
        <v>2280</v>
      </c>
      <c r="B1510" s="38">
        <v>3.8719999999999999</v>
      </c>
      <c r="C1510" s="38">
        <v>3.8319999999999999</v>
      </c>
      <c r="D1510" s="38">
        <v>3.9079999999999999</v>
      </c>
      <c r="E1510" s="38">
        <v>4.2629999999999999</v>
      </c>
    </row>
    <row r="1511" spans="1:5">
      <c r="A1511" s="55" t="s">
        <v>2281</v>
      </c>
      <c r="B1511" s="38">
        <v>3.8849999999999998</v>
      </c>
      <c r="C1511" s="38">
        <v>3.8420000000000001</v>
      </c>
      <c r="D1511" s="38">
        <v>3.923</v>
      </c>
      <c r="E1511" s="38">
        <v>4.2889999999999997</v>
      </c>
    </row>
    <row r="1512" spans="1:5">
      <c r="A1512" s="55" t="s">
        <v>2282</v>
      </c>
      <c r="B1512" s="38">
        <v>3.9060000000000001</v>
      </c>
      <c r="C1512" s="38">
        <v>3.8679999999999999</v>
      </c>
      <c r="D1512" s="38">
        <v>3.952</v>
      </c>
      <c r="E1512" s="38">
        <v>4.3170000000000002</v>
      </c>
    </row>
    <row r="1513" spans="1:5">
      <c r="A1513" s="55" t="s">
        <v>2283</v>
      </c>
      <c r="B1513" s="38">
        <v>3.88</v>
      </c>
      <c r="C1513" s="38">
        <v>3.8380000000000001</v>
      </c>
      <c r="D1513" s="38">
        <v>3.9249999999999998</v>
      </c>
      <c r="E1513" s="38">
        <v>4.2939999999999996</v>
      </c>
    </row>
    <row r="1514" spans="1:5">
      <c r="A1514" s="55" t="s">
        <v>2284</v>
      </c>
      <c r="B1514" s="38">
        <v>3.8519999999999999</v>
      </c>
      <c r="C1514" s="38">
        <v>3.8090000000000002</v>
      </c>
      <c r="D1514" s="38">
        <v>3.8969999999999998</v>
      </c>
      <c r="E1514" s="38">
        <v>4.2789999999999999</v>
      </c>
    </row>
    <row r="1515" spans="1:5">
      <c r="A1515" s="55" t="s">
        <v>2285</v>
      </c>
      <c r="B1515" s="38">
        <v>3.97</v>
      </c>
      <c r="C1515" s="38">
        <v>3.9409999999999998</v>
      </c>
      <c r="D1515" s="38">
        <v>4.0350000000000001</v>
      </c>
      <c r="E1515" s="38">
        <v>4.4109999999999996</v>
      </c>
    </row>
    <row r="1516" spans="1:5">
      <c r="A1516" s="55" t="s">
        <v>2286</v>
      </c>
      <c r="B1516" s="38">
        <v>3.9820000000000002</v>
      </c>
      <c r="C1516" s="38">
        <v>3.9750000000000001</v>
      </c>
      <c r="D1516" s="38">
        <v>4.0780000000000003</v>
      </c>
      <c r="E1516" s="38">
        <v>4.4939999999999998</v>
      </c>
    </row>
    <row r="1517" spans="1:5">
      <c r="A1517" s="55" t="s">
        <v>2287</v>
      </c>
      <c r="B1517" s="38">
        <v>3.9180000000000001</v>
      </c>
      <c r="C1517" s="38">
        <v>3.9049999999999998</v>
      </c>
      <c r="D1517" s="38">
        <v>4.0049999999999999</v>
      </c>
      <c r="E1517" s="38">
        <v>4.4050000000000002</v>
      </c>
    </row>
    <row r="1518" spans="1:5">
      <c r="A1518" s="55" t="s">
        <v>2288</v>
      </c>
      <c r="B1518" s="38">
        <v>3.9129999999999998</v>
      </c>
      <c r="C1518" s="38">
        <v>3.9039999999999999</v>
      </c>
      <c r="D1518" s="38">
        <v>4.0119999999999996</v>
      </c>
      <c r="E1518" s="38">
        <v>4.4400000000000004</v>
      </c>
    </row>
    <row r="1519" spans="1:5">
      <c r="A1519" s="55" t="s">
        <v>2289</v>
      </c>
      <c r="B1519" s="38">
        <v>3.859</v>
      </c>
      <c r="C1519" s="38">
        <v>3.8450000000000002</v>
      </c>
      <c r="D1519" s="38">
        <v>3.9529999999999998</v>
      </c>
      <c r="E1519" s="38">
        <v>4.38</v>
      </c>
    </row>
    <row r="1520" spans="1:5">
      <c r="A1520" s="55" t="s">
        <v>2290</v>
      </c>
      <c r="B1520" s="38">
        <v>3.9079999999999999</v>
      </c>
      <c r="C1520" s="38">
        <v>3.9039999999999999</v>
      </c>
      <c r="D1520" s="38">
        <v>4.0209999999999999</v>
      </c>
      <c r="E1520" s="38">
        <v>4.46</v>
      </c>
    </row>
    <row r="1521" spans="1:5">
      <c r="A1521" s="55" t="s">
        <v>2291</v>
      </c>
      <c r="B1521" s="38">
        <v>3.8370000000000002</v>
      </c>
      <c r="C1521" s="38">
        <v>3.8239999999999998</v>
      </c>
      <c r="D1521" s="38">
        <v>3.9359999999999999</v>
      </c>
      <c r="E1521" s="38">
        <v>4.3659999999999997</v>
      </c>
    </row>
    <row r="1522" spans="1:5">
      <c r="A1522" s="55" t="s">
        <v>2292</v>
      </c>
      <c r="B1522" s="38">
        <v>3.88</v>
      </c>
      <c r="C1522" s="38">
        <v>3.875</v>
      </c>
      <c r="D1522" s="38">
        <v>3.9889999999999999</v>
      </c>
      <c r="E1522" s="38">
        <v>4.4349999999999996</v>
      </c>
    </row>
    <row r="1523" spans="1:5">
      <c r="A1523" s="55" t="s">
        <v>2293</v>
      </c>
      <c r="B1523" s="38">
        <v>3.85</v>
      </c>
      <c r="C1523" s="38">
        <v>3.8439999999999999</v>
      </c>
      <c r="D1523" s="38">
        <v>3.9569999999999999</v>
      </c>
      <c r="E1523" s="38">
        <v>4.3840000000000003</v>
      </c>
    </row>
    <row r="1524" spans="1:5">
      <c r="A1524" s="55" t="s">
        <v>2294</v>
      </c>
      <c r="B1524" s="38">
        <v>3.92</v>
      </c>
      <c r="C1524" s="38">
        <v>3.92</v>
      </c>
      <c r="D1524" s="38">
        <v>4.0380000000000003</v>
      </c>
      <c r="E1524" s="38">
        <v>4.47</v>
      </c>
    </row>
    <row r="1525" spans="1:5">
      <c r="A1525" s="55" t="s">
        <v>2295</v>
      </c>
      <c r="B1525" s="38">
        <v>3.927</v>
      </c>
      <c r="C1525" s="38">
        <v>3.9369999999999998</v>
      </c>
      <c r="D1525" s="38">
        <v>4.0549999999999997</v>
      </c>
      <c r="E1525" s="38">
        <v>4.4790000000000001</v>
      </c>
    </row>
    <row r="1526" spans="1:5">
      <c r="A1526" s="55" t="s">
        <v>2296</v>
      </c>
      <c r="B1526" s="38">
        <v>3.9</v>
      </c>
      <c r="C1526" s="38">
        <v>3.9140000000000001</v>
      </c>
      <c r="D1526" s="38">
        <v>4.0449999999999999</v>
      </c>
      <c r="E1526" s="38">
        <v>4.5019999999999998</v>
      </c>
    </row>
    <row r="1527" spans="1:5">
      <c r="A1527" s="55" t="s">
        <v>2297</v>
      </c>
      <c r="B1527" s="38">
        <v>3.8740000000000001</v>
      </c>
      <c r="C1527" s="38">
        <v>3.8919999999999999</v>
      </c>
      <c r="D1527" s="38">
        <v>4.0289999999999999</v>
      </c>
      <c r="E1527" s="38">
        <v>4.4870000000000001</v>
      </c>
    </row>
    <row r="1528" spans="1:5">
      <c r="A1528" s="55" t="s">
        <v>2298</v>
      </c>
      <c r="B1528" s="38">
        <v>3.9079999999999999</v>
      </c>
      <c r="C1528" s="38">
        <v>3.9319999999999999</v>
      </c>
      <c r="D1528" s="38">
        <v>4.0730000000000004</v>
      </c>
      <c r="E1528" s="38">
        <v>4.5469999999999997</v>
      </c>
    </row>
    <row r="1529" spans="1:5">
      <c r="A1529" s="55" t="s">
        <v>2299</v>
      </c>
      <c r="B1529" s="38">
        <v>4.016</v>
      </c>
      <c r="C1529" s="38">
        <v>4.056</v>
      </c>
      <c r="D1529" s="38">
        <v>4.1920000000000002</v>
      </c>
      <c r="E1529" s="38">
        <v>4.6360000000000001</v>
      </c>
    </row>
    <row r="1530" spans="1:5">
      <c r="A1530" s="55" t="s">
        <v>2300</v>
      </c>
      <c r="B1530" s="38">
        <v>4.0019999999999998</v>
      </c>
      <c r="C1530" s="38">
        <v>4.0350000000000001</v>
      </c>
      <c r="D1530" s="38">
        <v>4.1719999999999997</v>
      </c>
      <c r="E1530" s="38">
        <v>4.6159999999999997</v>
      </c>
    </row>
    <row r="1531" spans="1:5">
      <c r="A1531" s="55" t="s">
        <v>2301</v>
      </c>
      <c r="B1531" s="38">
        <v>4.0019999999999998</v>
      </c>
      <c r="C1531" s="38">
        <v>4.0330000000000004</v>
      </c>
      <c r="D1531" s="38">
        <v>4.1749999999999998</v>
      </c>
      <c r="E1531" s="38">
        <v>4.6260000000000003</v>
      </c>
    </row>
    <row r="1532" spans="1:5">
      <c r="A1532" s="55" t="s">
        <v>2302</v>
      </c>
      <c r="B1532" s="38">
        <v>3.9169999999999998</v>
      </c>
      <c r="C1532" s="38">
        <v>3.9390000000000001</v>
      </c>
      <c r="D1532" s="38">
        <v>4.07</v>
      </c>
      <c r="E1532" s="38">
        <v>4.4980000000000002</v>
      </c>
    </row>
    <row r="1533" spans="1:5">
      <c r="A1533" s="55" t="s">
        <v>2303</v>
      </c>
      <c r="B1533" s="38">
        <v>3.931</v>
      </c>
      <c r="C1533" s="38">
        <v>3.95</v>
      </c>
      <c r="D1533" s="38">
        <v>4.08</v>
      </c>
      <c r="E1533" s="38">
        <v>4.4980000000000002</v>
      </c>
    </row>
    <row r="1534" spans="1:5">
      <c r="A1534" s="55" t="s">
        <v>2304</v>
      </c>
      <c r="B1534" s="38">
        <v>3.903</v>
      </c>
      <c r="C1534" s="38">
        <v>3.9209999999999998</v>
      </c>
      <c r="D1534" s="38">
        <v>4.0519999999999996</v>
      </c>
      <c r="E1534" s="38">
        <v>4.4820000000000002</v>
      </c>
    </row>
    <row r="1535" spans="1:5">
      <c r="A1535" s="55" t="s">
        <v>2305</v>
      </c>
      <c r="B1535" s="38">
        <v>3.871</v>
      </c>
      <c r="C1535" s="38">
        <v>3.8660000000000001</v>
      </c>
      <c r="D1535" s="38">
        <v>3.9889999999999999</v>
      </c>
      <c r="E1535" s="38">
        <v>4.4089999999999998</v>
      </c>
    </row>
    <row r="1536" spans="1:5">
      <c r="A1536" s="55" t="s">
        <v>2306</v>
      </c>
      <c r="B1536" s="38">
        <v>3.9159999999999999</v>
      </c>
      <c r="C1536" s="38">
        <v>3.9140000000000001</v>
      </c>
      <c r="D1536" s="38">
        <v>4.0380000000000003</v>
      </c>
      <c r="E1536" s="38">
        <v>4.4640000000000004</v>
      </c>
    </row>
    <row r="1537" spans="1:5">
      <c r="A1537" s="55" t="s">
        <v>2307</v>
      </c>
      <c r="B1537" s="38">
        <v>3.9129999999999998</v>
      </c>
      <c r="C1537" s="38">
        <v>3.9119999999999999</v>
      </c>
      <c r="D1537" s="38">
        <v>4.0369999999999999</v>
      </c>
      <c r="E1537" s="38">
        <v>4.4740000000000002</v>
      </c>
    </row>
    <row r="1538" spans="1:5">
      <c r="A1538" s="55" t="s">
        <v>2308</v>
      </c>
      <c r="B1538" s="38">
        <v>3.9</v>
      </c>
      <c r="C1538" s="38">
        <v>3.903</v>
      </c>
      <c r="D1538" s="38">
        <v>4.032</v>
      </c>
      <c r="E1538" s="38">
        <v>4.4800000000000004</v>
      </c>
    </row>
    <row r="1539" spans="1:5">
      <c r="A1539" s="55" t="s">
        <v>2309</v>
      </c>
      <c r="B1539" s="38">
        <v>3.8479999999999999</v>
      </c>
      <c r="C1539" s="38">
        <v>3.843</v>
      </c>
      <c r="D1539" s="38">
        <v>3.976</v>
      </c>
      <c r="E1539" s="38">
        <v>4.4269999999999996</v>
      </c>
    </row>
    <row r="1540" spans="1:5">
      <c r="A1540" s="55" t="s">
        <v>2310</v>
      </c>
      <c r="B1540" s="38">
        <v>3.7850000000000001</v>
      </c>
      <c r="C1540" s="38">
        <v>3.7810000000000001</v>
      </c>
      <c r="D1540" s="38">
        <v>3.919</v>
      </c>
      <c r="E1540" s="38">
        <v>4.375</v>
      </c>
    </row>
    <row r="1541" spans="1:5">
      <c r="A1541" s="55" t="s">
        <v>2311</v>
      </c>
      <c r="B1541" s="38">
        <v>3.7890000000000001</v>
      </c>
      <c r="C1541" s="38">
        <v>3.786</v>
      </c>
      <c r="D1541" s="38">
        <v>3.9279999999999999</v>
      </c>
      <c r="E1541" s="38">
        <v>4.3849999999999998</v>
      </c>
    </row>
    <row r="1542" spans="1:5">
      <c r="A1542" s="55" t="s">
        <v>2312</v>
      </c>
      <c r="B1542" s="38">
        <v>3.8039999999999998</v>
      </c>
      <c r="C1542" s="38">
        <v>3.8050000000000002</v>
      </c>
      <c r="D1542" s="38">
        <v>3.9540000000000002</v>
      </c>
      <c r="E1542" s="38">
        <v>4.4349999999999996</v>
      </c>
    </row>
    <row r="1543" spans="1:5">
      <c r="A1543" s="55" t="s">
        <v>2313</v>
      </c>
      <c r="B1543" s="38">
        <v>3.738</v>
      </c>
      <c r="C1543" s="38">
        <v>3.738</v>
      </c>
      <c r="D1543" s="38">
        <v>3.89</v>
      </c>
      <c r="E1543" s="38">
        <v>4.3860000000000001</v>
      </c>
    </row>
    <row r="1544" spans="1:5">
      <c r="A1544" s="55" t="s">
        <v>2314</v>
      </c>
      <c r="B1544" s="38">
        <v>3.76</v>
      </c>
      <c r="C1544" s="38">
        <v>3.7650000000000001</v>
      </c>
      <c r="D1544" s="38">
        <v>3.923</v>
      </c>
      <c r="E1544" s="38">
        <v>4.4210000000000003</v>
      </c>
    </row>
    <row r="1545" spans="1:5">
      <c r="A1545" s="55" t="s">
        <v>2315</v>
      </c>
      <c r="B1545" s="38">
        <v>3.7360000000000002</v>
      </c>
      <c r="C1545" s="38">
        <v>3.738</v>
      </c>
      <c r="D1545" s="38">
        <v>3.8849999999999998</v>
      </c>
      <c r="E1545" s="38">
        <v>4.3630000000000004</v>
      </c>
    </row>
    <row r="1546" spans="1:5">
      <c r="A1546" s="55" t="s">
        <v>2316</v>
      </c>
      <c r="B1546" s="38">
        <v>3.7269999999999999</v>
      </c>
      <c r="C1546" s="38">
        <v>3.7229999999999999</v>
      </c>
      <c r="D1546" s="38">
        <v>3.863</v>
      </c>
      <c r="E1546" s="38">
        <v>4.3239999999999998</v>
      </c>
    </row>
    <row r="1547" spans="1:5">
      <c r="A1547" s="55" t="s">
        <v>2317</v>
      </c>
      <c r="B1547" s="38">
        <v>3.77</v>
      </c>
      <c r="C1547" s="38">
        <v>3.77</v>
      </c>
      <c r="D1547" s="38">
        <v>3.91</v>
      </c>
      <c r="E1547" s="38">
        <v>4.3639999999999999</v>
      </c>
    </row>
    <row r="1548" spans="1:5">
      <c r="A1548" s="55" t="s">
        <v>2318</v>
      </c>
      <c r="B1548" s="38">
        <v>3.8069999999999999</v>
      </c>
      <c r="C1548" s="38">
        <v>3.8090000000000002</v>
      </c>
      <c r="D1548" s="38">
        <v>3.9529999999999998</v>
      </c>
      <c r="E1548" s="38">
        <v>4.4089999999999998</v>
      </c>
    </row>
    <row r="1549" spans="1:5">
      <c r="A1549" s="55" t="s">
        <v>2319</v>
      </c>
      <c r="B1549" s="38">
        <v>3.7959999999999998</v>
      </c>
      <c r="C1549" s="38">
        <v>3.7989999999999999</v>
      </c>
      <c r="D1549" s="38">
        <v>3.9409999999999998</v>
      </c>
      <c r="E1549" s="38">
        <v>4.3949999999999996</v>
      </c>
    </row>
    <row r="1550" spans="1:5">
      <c r="A1550" s="55" t="s">
        <v>2320</v>
      </c>
      <c r="B1550" s="38">
        <v>3.8490000000000002</v>
      </c>
      <c r="C1550" s="38">
        <v>3.855</v>
      </c>
      <c r="D1550" s="38">
        <v>3.9990000000000001</v>
      </c>
      <c r="E1550" s="38">
        <v>4.4690000000000003</v>
      </c>
    </row>
    <row r="1551" spans="1:5">
      <c r="A1551" s="55" t="s">
        <v>2321</v>
      </c>
      <c r="B1551" s="38">
        <v>3.847</v>
      </c>
      <c r="C1551" s="38">
        <v>3.8530000000000002</v>
      </c>
      <c r="D1551" s="38">
        <v>4.0010000000000003</v>
      </c>
      <c r="E1551" s="38">
        <v>4.4790000000000001</v>
      </c>
    </row>
    <row r="1552" spans="1:5">
      <c r="A1552" s="55" t="s">
        <v>2322</v>
      </c>
      <c r="B1552" s="38">
        <v>3.8239999999999998</v>
      </c>
      <c r="C1552" s="38">
        <v>3.827</v>
      </c>
      <c r="D1552" s="38">
        <v>3.968</v>
      </c>
      <c r="E1552" s="38">
        <v>4.4240000000000004</v>
      </c>
    </row>
    <row r="1553" spans="1:5">
      <c r="A1553" s="55" t="s">
        <v>2323</v>
      </c>
      <c r="B1553" s="38">
        <v>3.8639999999999999</v>
      </c>
      <c r="C1553" s="38">
        <v>3.8679999999999999</v>
      </c>
      <c r="D1553" s="38">
        <v>4.0060000000000002</v>
      </c>
      <c r="E1553" s="38">
        <v>4.46</v>
      </c>
    </row>
    <row r="1554" spans="1:5">
      <c r="A1554" s="55" t="s">
        <v>2324</v>
      </c>
      <c r="B1554" s="38">
        <v>3.9140000000000001</v>
      </c>
      <c r="C1554" s="38">
        <v>3.923</v>
      </c>
      <c r="D1554" s="38">
        <v>4.0620000000000003</v>
      </c>
      <c r="E1554" s="38">
        <v>4.5140000000000002</v>
      </c>
    </row>
    <row r="1555" spans="1:5">
      <c r="A1555" s="55" t="s">
        <v>2325</v>
      </c>
      <c r="B1555" s="38">
        <v>3.92</v>
      </c>
      <c r="C1555" s="38">
        <v>3.9329999999999998</v>
      </c>
      <c r="D1555" s="38">
        <v>4.0739999999999998</v>
      </c>
      <c r="E1555" s="38">
        <v>4.5339999999999998</v>
      </c>
    </row>
    <row r="1556" spans="1:5">
      <c r="A1556" s="55" t="s">
        <v>2326</v>
      </c>
      <c r="B1556" s="38">
        <v>3.927</v>
      </c>
      <c r="C1556" s="38">
        <v>3.9420000000000002</v>
      </c>
      <c r="D1556" s="38">
        <v>4.0819999999999999</v>
      </c>
      <c r="E1556" s="38">
        <v>4.5339999999999998</v>
      </c>
    </row>
    <row r="1557" spans="1:5">
      <c r="A1557" s="55" t="s">
        <v>2327</v>
      </c>
      <c r="B1557" s="38">
        <v>3.907</v>
      </c>
      <c r="C1557" s="38">
        <v>3.923</v>
      </c>
      <c r="D1557" s="38">
        <v>4.0609999999999999</v>
      </c>
      <c r="E1557" s="38">
        <v>4.5199999999999996</v>
      </c>
    </row>
    <row r="1558" spans="1:5">
      <c r="A1558" s="55" t="s">
        <v>2328</v>
      </c>
      <c r="B1558" s="38">
        <v>3.8420000000000001</v>
      </c>
      <c r="C1558" s="38">
        <v>3.8540000000000001</v>
      </c>
      <c r="D1558" s="38">
        <v>3.9910000000000001</v>
      </c>
      <c r="E1558" s="38">
        <v>4.4459999999999997</v>
      </c>
    </row>
    <row r="1559" spans="1:5">
      <c r="A1559" s="55" t="s">
        <v>2329</v>
      </c>
      <c r="B1559" s="38">
        <v>3.8050000000000002</v>
      </c>
      <c r="C1559" s="38">
        <v>3.8159999999999998</v>
      </c>
      <c r="D1559" s="38">
        <v>3.9510000000000001</v>
      </c>
      <c r="E1559" s="38">
        <v>4.407</v>
      </c>
    </row>
    <row r="1560" spans="1:5">
      <c r="A1560" s="55" t="s">
        <v>2330</v>
      </c>
      <c r="B1560" s="38">
        <v>3.79</v>
      </c>
      <c r="C1560" s="38">
        <v>3.7970000000000002</v>
      </c>
      <c r="D1560" s="38">
        <v>3.9260000000000002</v>
      </c>
      <c r="E1560" s="38">
        <v>4.3719999999999999</v>
      </c>
    </row>
    <row r="1561" spans="1:5">
      <c r="A1561" s="55" t="s">
        <v>2331</v>
      </c>
      <c r="B1561" s="38">
        <v>3.7810000000000001</v>
      </c>
      <c r="C1561" s="38">
        <v>3.786</v>
      </c>
      <c r="D1561" s="38">
        <v>3.911</v>
      </c>
      <c r="E1561" s="38">
        <v>4.3479999999999999</v>
      </c>
    </row>
    <row r="1562" spans="1:5">
      <c r="A1562" s="55" t="s">
        <v>2332</v>
      </c>
      <c r="B1562" s="38">
        <v>3.738</v>
      </c>
      <c r="C1562" s="38">
        <v>3.738</v>
      </c>
      <c r="D1562" s="38">
        <v>3.863</v>
      </c>
      <c r="E1562" s="38">
        <v>4.3029999999999999</v>
      </c>
    </row>
    <row r="1563" spans="1:5">
      <c r="A1563" s="55" t="s">
        <v>2333</v>
      </c>
      <c r="B1563" s="38">
        <v>3.7669999999999999</v>
      </c>
      <c r="C1563" s="38">
        <v>3.766</v>
      </c>
      <c r="D1563" s="38">
        <v>3.8919999999999999</v>
      </c>
      <c r="E1563" s="38">
        <v>4.3380000000000001</v>
      </c>
    </row>
    <row r="1564" spans="1:5">
      <c r="A1564" s="55" t="s">
        <v>2334</v>
      </c>
      <c r="B1564" s="38">
        <v>3.7130000000000001</v>
      </c>
      <c r="C1564" s="38">
        <v>3.7050000000000001</v>
      </c>
      <c r="D1564" s="38">
        <v>3.8290000000000002</v>
      </c>
      <c r="E1564" s="38">
        <v>4.2779999999999996</v>
      </c>
    </row>
    <row r="1565" spans="1:5">
      <c r="A1565" s="55" t="s">
        <v>2335</v>
      </c>
      <c r="B1565" s="38">
        <v>3.758</v>
      </c>
      <c r="C1565" s="38">
        <v>3.7530000000000001</v>
      </c>
      <c r="D1565" s="38">
        <v>3.883</v>
      </c>
      <c r="E1565" s="38">
        <v>4.3630000000000004</v>
      </c>
    </row>
    <row r="1566" spans="1:5">
      <c r="A1566" s="55" t="s">
        <v>2336</v>
      </c>
      <c r="B1566" s="38">
        <v>3.8370000000000002</v>
      </c>
      <c r="C1566" s="38">
        <v>3.84</v>
      </c>
      <c r="D1566" s="38">
        <v>3.984</v>
      </c>
      <c r="E1566" s="38">
        <v>4.492</v>
      </c>
    </row>
    <row r="1567" spans="1:5">
      <c r="A1567" s="55" t="s">
        <v>2337</v>
      </c>
      <c r="B1567" s="38">
        <v>3.77</v>
      </c>
      <c r="C1567" s="38">
        <v>3.77</v>
      </c>
      <c r="D1567" s="38">
        <v>3.9119999999999999</v>
      </c>
      <c r="E1567" s="38">
        <v>4.4130000000000003</v>
      </c>
    </row>
    <row r="1568" spans="1:5">
      <c r="A1568" s="55" t="s">
        <v>2338</v>
      </c>
      <c r="B1568" s="38">
        <v>3.8090000000000002</v>
      </c>
      <c r="C1568" s="38">
        <v>3.81</v>
      </c>
      <c r="D1568" s="38">
        <v>3.9550000000000001</v>
      </c>
      <c r="E1568" s="38">
        <v>4.4489999999999998</v>
      </c>
    </row>
    <row r="1569" spans="1:5">
      <c r="A1569" s="55" t="s">
        <v>2339</v>
      </c>
      <c r="B1569" s="38">
        <v>3.7410000000000001</v>
      </c>
      <c r="C1569" s="38">
        <v>3.7370000000000001</v>
      </c>
      <c r="D1569" s="38">
        <v>3.8839999999999999</v>
      </c>
      <c r="E1569" s="38">
        <v>4.3890000000000002</v>
      </c>
    </row>
    <row r="1570" spans="1:5">
      <c r="A1570" s="55" t="s">
        <v>2340</v>
      </c>
      <c r="B1570" s="38">
        <v>3.76</v>
      </c>
      <c r="C1570" s="38">
        <v>3.7650000000000001</v>
      </c>
      <c r="D1570" s="38">
        <v>3.9159999999999999</v>
      </c>
      <c r="E1570" s="38">
        <v>4.4489999999999998</v>
      </c>
    </row>
    <row r="1571" spans="1:5">
      <c r="A1571" s="55" t="s">
        <v>2341</v>
      </c>
      <c r="B1571" s="38">
        <v>3.7559999999999998</v>
      </c>
      <c r="C1571" s="38">
        <v>3.766</v>
      </c>
      <c r="D1571" s="38">
        <v>3.911</v>
      </c>
      <c r="E1571" s="38">
        <v>4.43</v>
      </c>
    </row>
    <row r="1572" spans="1:5">
      <c r="A1572" s="55" t="s">
        <v>2342</v>
      </c>
      <c r="B1572" s="38">
        <v>3.7519999999999998</v>
      </c>
      <c r="C1572" s="38">
        <v>3.762</v>
      </c>
      <c r="D1572" s="38">
        <v>3.9060000000000001</v>
      </c>
      <c r="E1572" s="38">
        <v>4.4340000000000002</v>
      </c>
    </row>
    <row r="1573" spans="1:5">
      <c r="A1573" s="55" t="s">
        <v>2343</v>
      </c>
      <c r="B1573" s="38">
        <v>3.75</v>
      </c>
      <c r="C1573" s="38">
        <v>3.76</v>
      </c>
      <c r="D1573" s="38">
        <v>3.9049999999999998</v>
      </c>
      <c r="E1573" s="38">
        <v>4.4219999999999997</v>
      </c>
    </row>
    <row r="1574" spans="1:5">
      <c r="A1574" s="55" t="s">
        <v>2344</v>
      </c>
      <c r="B1574" s="38">
        <v>3.7589999999999999</v>
      </c>
      <c r="C1574" s="38">
        <v>3.7709999999999999</v>
      </c>
      <c r="D1574" s="38">
        <v>3.9119999999999999</v>
      </c>
      <c r="E1574" s="38">
        <v>4.4130000000000003</v>
      </c>
    </row>
    <row r="1575" spans="1:5">
      <c r="A1575" s="55" t="s">
        <v>2345</v>
      </c>
      <c r="B1575" s="38">
        <v>3.78</v>
      </c>
      <c r="C1575" s="38">
        <v>3.7909999999999999</v>
      </c>
      <c r="D1575" s="38">
        <v>3.931</v>
      </c>
      <c r="E1575" s="38">
        <v>4.4340000000000002</v>
      </c>
    </row>
    <row r="1576" spans="1:5">
      <c r="A1576" s="55" t="s">
        <v>2346</v>
      </c>
      <c r="B1576" s="38">
        <v>3.73</v>
      </c>
      <c r="C1576" s="38">
        <v>3.742</v>
      </c>
      <c r="D1576" s="38">
        <v>3.879</v>
      </c>
      <c r="E1576" s="38">
        <v>4.3890000000000002</v>
      </c>
    </row>
    <row r="1577" spans="1:5">
      <c r="A1577" s="55" t="s">
        <v>2347</v>
      </c>
      <c r="B1577" s="38">
        <v>3.7389999999999999</v>
      </c>
      <c r="C1577" s="38">
        <v>3.7509999999999999</v>
      </c>
      <c r="D1577" s="38">
        <v>3.8889999999999998</v>
      </c>
      <c r="E1577" s="38">
        <v>4.4089999999999998</v>
      </c>
    </row>
    <row r="1578" spans="1:5">
      <c r="A1578" s="55" t="s">
        <v>2348</v>
      </c>
      <c r="B1578" s="38">
        <v>3.7280000000000002</v>
      </c>
      <c r="C1578" s="38">
        <v>3.7389999999999999</v>
      </c>
      <c r="D1578" s="38">
        <v>3.883</v>
      </c>
      <c r="E1578" s="38">
        <v>4.415</v>
      </c>
    </row>
    <row r="1579" spans="1:5">
      <c r="A1579" s="55" t="s">
        <v>2349</v>
      </c>
      <c r="B1579" s="38">
        <v>3.7309999999999999</v>
      </c>
      <c r="C1579" s="38">
        <v>3.7450000000000001</v>
      </c>
      <c r="D1579" s="38">
        <v>3.8919999999999999</v>
      </c>
      <c r="E1579" s="38">
        <v>4.4390000000000001</v>
      </c>
    </row>
    <row r="1580" spans="1:5">
      <c r="A1580" s="55" t="s">
        <v>2350</v>
      </c>
      <c r="B1580" s="38">
        <v>3.774</v>
      </c>
      <c r="C1580" s="38">
        <v>3.79</v>
      </c>
      <c r="D1580" s="38">
        <v>3.9390000000000001</v>
      </c>
      <c r="E1580" s="38">
        <v>4.4930000000000003</v>
      </c>
    </row>
    <row r="1581" spans="1:5">
      <c r="A1581" s="55" t="s">
        <v>2351</v>
      </c>
      <c r="B1581" s="38">
        <v>3.7730000000000001</v>
      </c>
      <c r="C1581" s="38">
        <v>3.7959999999999998</v>
      </c>
      <c r="D1581" s="38">
        <v>3.95</v>
      </c>
      <c r="E1581" s="38">
        <v>4.5229999999999997</v>
      </c>
    </row>
    <row r="1582" spans="1:5">
      <c r="A1582" s="55" t="s">
        <v>2352</v>
      </c>
      <c r="B1582" s="38">
        <v>3.7360000000000002</v>
      </c>
      <c r="C1582" s="38">
        <v>3.758</v>
      </c>
      <c r="D1582" s="38">
        <v>3.911</v>
      </c>
      <c r="E1582" s="38">
        <v>4.4779999999999998</v>
      </c>
    </row>
    <row r="1583" spans="1:5">
      <c r="A1583" s="55" t="s">
        <v>2353</v>
      </c>
      <c r="B1583" s="38">
        <v>3.6779999999999999</v>
      </c>
      <c r="C1583" s="38">
        <v>3.6930000000000001</v>
      </c>
      <c r="D1583" s="38">
        <v>3.8410000000000002</v>
      </c>
      <c r="E1583" s="38">
        <v>4.4020000000000001</v>
      </c>
    </row>
    <row r="1584" spans="1:5">
      <c r="A1584" s="55" t="s">
        <v>2354</v>
      </c>
      <c r="B1584" s="38">
        <v>3.67</v>
      </c>
      <c r="C1584" s="38">
        <v>3.69</v>
      </c>
      <c r="D1584" s="38">
        <v>3.8420000000000001</v>
      </c>
      <c r="E1584" s="38">
        <v>4.391</v>
      </c>
    </row>
    <row r="1585" spans="1:5">
      <c r="A1585" s="55" t="s">
        <v>2355</v>
      </c>
      <c r="B1585" s="38">
        <v>3.6930000000000001</v>
      </c>
      <c r="C1585" s="38">
        <v>3.7130000000000001</v>
      </c>
      <c r="D1585" s="38">
        <v>3.8610000000000002</v>
      </c>
      <c r="E1585" s="38">
        <v>4.3970000000000002</v>
      </c>
    </row>
    <row r="1586" spans="1:5">
      <c r="A1586" s="55" t="s">
        <v>2356</v>
      </c>
      <c r="B1586" s="38">
        <v>3.5329999999999999</v>
      </c>
      <c r="C1586" s="38">
        <v>3.5489999999999999</v>
      </c>
      <c r="D1586" s="38">
        <v>3.6970000000000001</v>
      </c>
      <c r="E1586" s="38">
        <v>4.242</v>
      </c>
    </row>
    <row r="1587" spans="1:5">
      <c r="A1587" s="55" t="s">
        <v>2357</v>
      </c>
      <c r="B1587" s="38">
        <v>3.4009999999999998</v>
      </c>
      <c r="C1587" s="38">
        <v>3.4169999999999998</v>
      </c>
      <c r="D1587" s="38">
        <v>3.593</v>
      </c>
      <c r="E1587" s="38">
        <v>4.1989999999999998</v>
      </c>
    </row>
    <row r="1588" spans="1:5">
      <c r="A1588" s="55" t="s">
        <v>2358</v>
      </c>
      <c r="B1588" s="38">
        <v>3.2570000000000001</v>
      </c>
      <c r="C1588" s="38">
        <v>3.2719999999999998</v>
      </c>
      <c r="D1588" s="38">
        <v>3.47</v>
      </c>
      <c r="E1588" s="38">
        <v>4.0810000000000004</v>
      </c>
    </row>
    <row r="1589" spans="1:5">
      <c r="A1589" s="55" t="s">
        <v>2359</v>
      </c>
      <c r="B1589" s="38">
        <v>3.3170000000000002</v>
      </c>
      <c r="C1589" s="38">
        <v>3.3370000000000002</v>
      </c>
      <c r="D1589" s="38">
        <v>3.5550000000000002</v>
      </c>
      <c r="E1589" s="38">
        <v>4.2220000000000004</v>
      </c>
    </row>
    <row r="1590" spans="1:5">
      <c r="A1590" s="55" t="s">
        <v>2360</v>
      </c>
      <c r="B1590" s="38">
        <v>3.222</v>
      </c>
      <c r="C1590" s="38">
        <v>3.246</v>
      </c>
      <c r="D1590" s="38">
        <v>3.552</v>
      </c>
      <c r="E1590" s="38">
        <v>4.3760000000000003</v>
      </c>
    </row>
    <row r="1591" spans="1:5">
      <c r="A1591" s="55" t="s">
        <v>2361</v>
      </c>
      <c r="E1591" s="56">
        <f>AVERAGE(E1522:E1590)</f>
        <v>4.4252318840579727</v>
      </c>
    </row>
  </sheetData>
  <phoneticPr fontId="14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B9DA0-4F17-44D9-8E45-990BD713D558}">
  <dimension ref="A1:I42"/>
  <sheetViews>
    <sheetView workbookViewId="0">
      <selection activeCell="C37" sqref="C37"/>
    </sheetView>
  </sheetViews>
  <sheetFormatPr defaultColWidth="0" defaultRowHeight="15" zeroHeight="1"/>
  <cols>
    <col min="1" max="1" width="35.140625" customWidth="1"/>
    <col min="2" max="2" width="0" hidden="1" customWidth="1"/>
    <col min="3" max="8" width="13" customWidth="1"/>
    <col min="9" max="9" width="9.140625" customWidth="1"/>
    <col min="10" max="16384" width="9.140625" hidden="1"/>
  </cols>
  <sheetData>
    <row r="1" spans="1:8">
      <c r="A1" s="1"/>
      <c r="B1" s="1"/>
      <c r="C1" s="1"/>
      <c r="D1" s="1"/>
      <c r="E1" s="1"/>
      <c r="F1" s="1"/>
      <c r="G1" s="1"/>
      <c r="H1" s="1"/>
    </row>
    <row r="2" spans="1:8" ht="20.25">
      <c r="A2" s="2" t="s">
        <v>2362</v>
      </c>
      <c r="B2" s="2"/>
      <c r="C2" s="2"/>
      <c r="D2" s="2"/>
      <c r="E2" s="2"/>
      <c r="F2" s="2"/>
      <c r="G2" s="2"/>
      <c r="H2" s="2"/>
    </row>
    <row r="3" spans="1:8">
      <c r="A3" s="3"/>
      <c r="B3" s="3"/>
      <c r="C3" s="3"/>
      <c r="D3" s="3"/>
      <c r="E3" s="3"/>
      <c r="F3" s="3"/>
      <c r="G3" s="3"/>
      <c r="H3" s="3"/>
    </row>
    <row r="4" spans="1:8">
      <c r="A4" s="4" t="s">
        <v>2363</v>
      </c>
      <c r="B4" s="4"/>
      <c r="C4" s="5" t="s">
        <v>7</v>
      </c>
      <c r="D4" s="5" t="s">
        <v>6</v>
      </c>
      <c r="E4" s="5" t="s">
        <v>5</v>
      </c>
      <c r="F4" s="5" t="s">
        <v>4</v>
      </c>
      <c r="G4" s="5" t="s">
        <v>3</v>
      </c>
      <c r="H4" s="5" t="s">
        <v>2</v>
      </c>
    </row>
    <row r="5" spans="1:8">
      <c r="A5" s="6" t="s">
        <v>11</v>
      </c>
      <c r="B5" s="6"/>
      <c r="C5" s="7" t="s">
        <v>17</v>
      </c>
      <c r="D5" s="7" t="s">
        <v>16</v>
      </c>
      <c r="E5" s="7" t="s">
        <v>15</v>
      </c>
      <c r="F5" s="7" t="s">
        <v>14</v>
      </c>
      <c r="G5" s="7" t="s">
        <v>13</v>
      </c>
      <c r="H5" s="7" t="s">
        <v>12</v>
      </c>
    </row>
    <row r="6" spans="1:8">
      <c r="A6" s="11" t="s">
        <v>2364</v>
      </c>
      <c r="B6" s="12"/>
      <c r="C6" s="12"/>
      <c r="D6" s="12"/>
      <c r="E6" s="12"/>
      <c r="F6" s="12"/>
      <c r="G6" s="12"/>
      <c r="H6" s="12"/>
    </row>
    <row r="7" spans="1:8">
      <c r="A7" s="8" t="s">
        <v>2365</v>
      </c>
      <c r="B7" s="8" t="s">
        <v>2366</v>
      </c>
      <c r="C7" s="10" t="e">
        <f ca="1">_xll.BDH("JBH AU Equity","WACC_COST_EQUITY","FY 2024","FY 2024","Currency=AUD","Period=FY","BEST_FPERIOD_OVERRIDE=FY","FILING_STATUS=MR","Sort=D","Dates=H","DateFormat=P","Fill=—","Direction=H","UseDPDF=Y")</f>
        <v>#NAME?</v>
      </c>
      <c r="D7" s="10" t="e">
        <f ca="1">_xll.BDH("JBH AU Equity","WACC_COST_EQUITY","FY 2023","FY 2023","Currency=AUD","Period=FY","BEST_FPERIOD_OVERRIDE=FY","FILING_STATUS=MR","Sort=D","Dates=H","DateFormat=P","Fill=—","Direction=H","UseDPDF=Y")</f>
        <v>#NAME?</v>
      </c>
      <c r="E7" s="10" t="e">
        <f ca="1">_xll.BDH("JBH AU Equity","WACC_COST_EQUITY","FY 2022","FY 2022","Currency=AUD","Period=FY","BEST_FPERIOD_OVERRIDE=FY","FILING_STATUS=MR","Sort=D","Dates=H","DateFormat=P","Fill=—","Direction=H","UseDPDF=Y")</f>
        <v>#NAME?</v>
      </c>
      <c r="F7" s="10" t="e">
        <f ca="1">_xll.BDH("JBH AU Equity","WACC_COST_EQUITY","FY 2021","FY 2021","Currency=AUD","Period=FY","BEST_FPERIOD_OVERRIDE=FY","FILING_STATUS=MR","Sort=D","Dates=H","DateFormat=P","Fill=—","Direction=H","UseDPDF=Y")</f>
        <v>#NAME?</v>
      </c>
      <c r="G7" s="10" t="e">
        <f ca="1">_xll.BDH("JBH AU Equity","WACC_COST_EQUITY","FY 2020","FY 2020","Currency=AUD","Period=FY","BEST_FPERIOD_OVERRIDE=FY","FILING_STATUS=MR","Sort=D","Dates=H","DateFormat=P","Fill=—","Direction=H","UseDPDF=Y")</f>
        <v>#NAME?</v>
      </c>
      <c r="H7" s="10" t="e">
        <f ca="1">_xll.BDH("JBH AU Equity","WACC_COST_EQUITY","FY 2019","FY 2019","Currency=AUD","Period=FY","BEST_FPERIOD_OVERRIDE=FY","FILING_STATUS=MR","Sort=D","Dates=H","DateFormat=P","Fill=—","Direction=H","UseDPDF=Y")</f>
        <v>#NAME?</v>
      </c>
    </row>
    <row r="8" spans="1:8">
      <c r="A8" s="8" t="s">
        <v>2367</v>
      </c>
      <c r="B8" s="8" t="s">
        <v>2368</v>
      </c>
      <c r="C8" s="10" t="e">
        <f ca="1">_xll.BDH("JBH AU Equity","WACC_WEIGHT_OF_EQUITY","FY 2024","FY 2024","Currency=AUD","Period=FY","BEST_FPERIOD_OVERRIDE=FY","FILING_STATUS=MR","Sort=D","Dates=H","DateFormat=P","Fill=—","Direction=H","UseDPDF=Y")</f>
        <v>#NAME?</v>
      </c>
      <c r="D8" s="10" t="e">
        <f ca="1">_xll.BDH("JBH AU Equity","WACC_WEIGHT_OF_EQUITY","FY 2023","FY 2023","Currency=AUD","Period=FY","BEST_FPERIOD_OVERRIDE=FY","FILING_STATUS=MR","Sort=D","Dates=H","DateFormat=P","Fill=—","Direction=H","UseDPDF=Y")</f>
        <v>#NAME?</v>
      </c>
      <c r="E8" s="10" t="e">
        <f ca="1">_xll.BDH("JBH AU Equity","WACC_WEIGHT_OF_EQUITY","FY 2022","FY 2022","Currency=AUD","Period=FY","BEST_FPERIOD_OVERRIDE=FY","FILING_STATUS=MR","Sort=D","Dates=H","DateFormat=P","Fill=—","Direction=H","UseDPDF=Y")</f>
        <v>#NAME?</v>
      </c>
      <c r="F8" s="10" t="e">
        <f ca="1">_xll.BDH("JBH AU Equity","WACC_WEIGHT_OF_EQUITY","FY 2021","FY 2021","Currency=AUD","Period=FY","BEST_FPERIOD_OVERRIDE=FY","FILING_STATUS=MR","Sort=D","Dates=H","DateFormat=P","Fill=—","Direction=H","UseDPDF=Y")</f>
        <v>#NAME?</v>
      </c>
      <c r="G8" s="10" t="e">
        <f ca="1">_xll.BDH("JBH AU Equity","WACC_WEIGHT_OF_EQUITY","FY 2020","FY 2020","Currency=AUD","Period=FY","BEST_FPERIOD_OVERRIDE=FY","FILING_STATUS=MR","Sort=D","Dates=H","DateFormat=P","Fill=—","Direction=H","UseDPDF=Y")</f>
        <v>#NAME?</v>
      </c>
      <c r="H8" s="10" t="e">
        <f ca="1">_xll.BDH("JBH AU Equity","WACC_WEIGHT_OF_EQUITY","FY 2019","FY 2019","Currency=AUD","Period=FY","BEST_FPERIOD_OVERRIDE=FY","FILING_STATUS=MR","Sort=D","Dates=H","DateFormat=P","Fill=—","Direction=H","UseDPDF=Y")</f>
        <v>#NAME?</v>
      </c>
    </row>
    <row r="9" spans="1:8">
      <c r="A9" s="11" t="s">
        <v>2369</v>
      </c>
      <c r="B9" s="12"/>
      <c r="C9" s="12"/>
      <c r="D9" s="12"/>
      <c r="E9" s="12"/>
      <c r="F9" s="12"/>
      <c r="G9" s="12"/>
      <c r="H9" s="12"/>
    </row>
    <row r="10" spans="1:8">
      <c r="A10" s="8" t="s">
        <v>2370</v>
      </c>
      <c r="B10" s="8" t="s">
        <v>2371</v>
      </c>
      <c r="C10" s="10" t="e">
        <f ca="1">_xll.BDH("JBH AU Equity","WACC_COST_DEBT","FY 2024","FY 2024","Currency=AUD","Period=FY","BEST_FPERIOD_OVERRIDE=FY","FILING_STATUS=MR","Sort=D","Dates=H","DateFormat=P","Fill=—","Direction=H","UseDPDF=Y")</f>
        <v>#NAME?</v>
      </c>
      <c r="D10" s="10" t="e">
        <f ca="1">_xll.BDH("JBH AU Equity","WACC_COST_DEBT","FY 2023","FY 2023","Currency=AUD","Period=FY","BEST_FPERIOD_OVERRIDE=FY","FILING_STATUS=MR","Sort=D","Dates=H","DateFormat=P","Fill=—","Direction=H","UseDPDF=Y")</f>
        <v>#NAME?</v>
      </c>
      <c r="E10" s="10" t="e">
        <f ca="1">_xll.BDH("JBH AU Equity","WACC_COST_DEBT","FY 2022","FY 2022","Currency=AUD","Period=FY","BEST_FPERIOD_OVERRIDE=FY","FILING_STATUS=MR","Sort=D","Dates=H","DateFormat=P","Fill=—","Direction=H","UseDPDF=Y")</f>
        <v>#NAME?</v>
      </c>
      <c r="F10" s="10" t="e">
        <f ca="1">_xll.BDH("JBH AU Equity","WACC_COST_DEBT","FY 2021","FY 2021","Currency=AUD","Period=FY","BEST_FPERIOD_OVERRIDE=FY","FILING_STATUS=MR","Sort=D","Dates=H","DateFormat=P","Fill=—","Direction=H","UseDPDF=Y")</f>
        <v>#NAME?</v>
      </c>
      <c r="G10" s="10" t="e">
        <f ca="1">_xll.BDH("JBH AU Equity","WACC_COST_DEBT","FY 2020","FY 2020","Currency=AUD","Period=FY","BEST_FPERIOD_OVERRIDE=FY","FILING_STATUS=MR","Sort=D","Dates=H","DateFormat=P","Fill=—","Direction=H","UseDPDF=Y")</f>
        <v>#NAME?</v>
      </c>
      <c r="H10" s="10" t="e">
        <f ca="1">_xll.BDH("JBH AU Equity","WACC_COST_DEBT","FY 2019","FY 2019","Currency=AUD","Period=FY","BEST_FPERIOD_OVERRIDE=FY","FILING_STATUS=MR","Sort=D","Dates=H","DateFormat=P","Fill=—","Direction=H","UseDPDF=Y")</f>
        <v>#NAME?</v>
      </c>
    </row>
    <row r="11" spans="1:8">
      <c r="A11" s="8" t="s">
        <v>2372</v>
      </c>
      <c r="B11" s="8" t="s">
        <v>2373</v>
      </c>
      <c r="C11" s="10" t="e">
        <f ca="1">_xll.BDH("JBH AU Equity","WACC_WEIGHT_OF_DEBT","FY 2024","FY 2024","Currency=AUD","Period=FY","BEST_FPERIOD_OVERRIDE=FY","FILING_STATUS=MR","Sort=D","Dates=H","DateFormat=P","Fill=—","Direction=H","UseDPDF=Y")</f>
        <v>#NAME?</v>
      </c>
      <c r="D11" s="10" t="e">
        <f ca="1">_xll.BDH("JBH AU Equity","WACC_WEIGHT_OF_DEBT","FY 2023","FY 2023","Currency=AUD","Period=FY","BEST_FPERIOD_OVERRIDE=FY","FILING_STATUS=MR","Sort=D","Dates=H","DateFormat=P","Fill=—","Direction=H","UseDPDF=Y")</f>
        <v>#NAME?</v>
      </c>
      <c r="E11" s="10" t="e">
        <f ca="1">_xll.BDH("JBH AU Equity","WACC_WEIGHT_OF_DEBT","FY 2022","FY 2022","Currency=AUD","Period=FY","BEST_FPERIOD_OVERRIDE=FY","FILING_STATUS=MR","Sort=D","Dates=H","DateFormat=P","Fill=—","Direction=H","UseDPDF=Y")</f>
        <v>#NAME?</v>
      </c>
      <c r="F11" s="10" t="e">
        <f ca="1">_xll.BDH("JBH AU Equity","WACC_WEIGHT_OF_DEBT","FY 2021","FY 2021","Currency=AUD","Period=FY","BEST_FPERIOD_OVERRIDE=FY","FILING_STATUS=MR","Sort=D","Dates=H","DateFormat=P","Fill=—","Direction=H","UseDPDF=Y")</f>
        <v>#NAME?</v>
      </c>
      <c r="G11" s="10" t="e">
        <f ca="1">_xll.BDH("JBH AU Equity","WACC_WEIGHT_OF_DEBT","FY 2020","FY 2020","Currency=AUD","Period=FY","BEST_FPERIOD_OVERRIDE=FY","FILING_STATUS=MR","Sort=D","Dates=H","DateFormat=P","Fill=—","Direction=H","UseDPDF=Y")</f>
        <v>#NAME?</v>
      </c>
      <c r="H11" s="10" t="e">
        <f ca="1">_xll.BDH("JBH AU Equity","WACC_WEIGHT_OF_DEBT","FY 2019","FY 2019","Currency=AUD","Period=FY","BEST_FPERIOD_OVERRIDE=FY","FILING_STATUS=MR","Sort=D","Dates=H","DateFormat=P","Fill=—","Direction=H","UseDPDF=Y")</f>
        <v>#NAME?</v>
      </c>
    </row>
    <row r="12" spans="1:8">
      <c r="A12" s="11" t="s">
        <v>2374</v>
      </c>
      <c r="B12" s="12"/>
      <c r="C12" s="12"/>
      <c r="D12" s="12"/>
      <c r="E12" s="12"/>
      <c r="F12" s="12"/>
      <c r="G12" s="12"/>
      <c r="H12" s="12"/>
    </row>
    <row r="13" spans="1:8">
      <c r="A13" s="8" t="s">
        <v>2375</v>
      </c>
      <c r="B13" s="8" t="s">
        <v>2376</v>
      </c>
      <c r="C13" s="10" t="e">
        <f ca="1">_xll.BDH("JBH AU Equity","WACC_COST_PFD","FY 2024","FY 2024","Currency=AUD","Period=FY","BEST_FPERIOD_OVERRIDE=FY","FILING_STATUS=MR","Sort=D","Dates=H","DateFormat=P","Fill=—","Direction=H","UseDPDF=Y")</f>
        <v>#NAME?</v>
      </c>
      <c r="D13" s="10" t="e">
        <f ca="1">_xll.BDH("JBH AU Equity","WACC_COST_PFD","FY 2023","FY 2023","Currency=AUD","Period=FY","BEST_FPERIOD_OVERRIDE=FY","FILING_STATUS=MR","Sort=D","Dates=H","DateFormat=P","Fill=—","Direction=H","UseDPDF=Y")</f>
        <v>#NAME?</v>
      </c>
      <c r="E13" s="10" t="e">
        <f ca="1">_xll.BDH("JBH AU Equity","WACC_COST_PFD","FY 2022","FY 2022","Currency=AUD","Period=FY","BEST_FPERIOD_OVERRIDE=FY","FILING_STATUS=MR","Sort=D","Dates=H","DateFormat=P","Fill=—","Direction=H","UseDPDF=Y")</f>
        <v>#NAME?</v>
      </c>
      <c r="F13" s="10" t="e">
        <f ca="1">_xll.BDH("JBH AU Equity","WACC_COST_PFD","FY 2021","FY 2021","Currency=AUD","Period=FY","BEST_FPERIOD_OVERRIDE=FY","FILING_STATUS=MR","Sort=D","Dates=H","DateFormat=P","Fill=—","Direction=H","UseDPDF=Y")</f>
        <v>#NAME?</v>
      </c>
      <c r="G13" s="10" t="e">
        <f ca="1">_xll.BDH("JBH AU Equity","WACC_COST_PFD","FY 2020","FY 2020","Currency=AUD","Period=FY","BEST_FPERIOD_OVERRIDE=FY","FILING_STATUS=MR","Sort=D","Dates=H","DateFormat=P","Fill=—","Direction=H","UseDPDF=Y")</f>
        <v>#NAME?</v>
      </c>
      <c r="H13" s="10" t="e">
        <f ca="1">_xll.BDH("JBH AU Equity","WACC_COST_PFD","FY 2019","FY 2019","Currency=AUD","Period=FY","BEST_FPERIOD_OVERRIDE=FY","FILING_STATUS=MR","Sort=D","Dates=H","DateFormat=P","Fill=—","Direction=H","UseDPDF=Y")</f>
        <v>#NAME?</v>
      </c>
    </row>
    <row r="14" spans="1:8">
      <c r="A14" s="8" t="s">
        <v>2377</v>
      </c>
      <c r="B14" s="8" t="s">
        <v>2378</v>
      </c>
      <c r="C14" s="10" t="e">
        <f ca="1">_xll.BDH("JBH AU Equity","WACC_WEIGHT_OF_PREFERRED_EQUITY","FY 2024","FY 2024","Currency=AUD","Period=FY","BEST_FPERIOD_OVERRIDE=FY","FILING_STATUS=MR","Sort=D","Dates=H","DateFormat=P","Fill=—","Direction=H","UseDPDF=Y")</f>
        <v>#NAME?</v>
      </c>
      <c r="D14" s="10" t="e">
        <f ca="1">_xll.BDH("JBH AU Equity","WACC_WEIGHT_OF_PREFERRED_EQUITY","FY 2023","FY 2023","Currency=AUD","Period=FY","BEST_FPERIOD_OVERRIDE=FY","FILING_STATUS=MR","Sort=D","Dates=H","DateFormat=P","Fill=—","Direction=H","UseDPDF=Y")</f>
        <v>#NAME?</v>
      </c>
      <c r="E14" s="10" t="e">
        <f ca="1">_xll.BDH("JBH AU Equity","WACC_WEIGHT_OF_PREFERRED_EQUITY","FY 2022","FY 2022","Currency=AUD","Period=FY","BEST_FPERIOD_OVERRIDE=FY","FILING_STATUS=MR","Sort=D","Dates=H","DateFormat=P","Fill=—","Direction=H","UseDPDF=Y")</f>
        <v>#NAME?</v>
      </c>
      <c r="F14" s="10" t="e">
        <f ca="1">_xll.BDH("JBH AU Equity","WACC_WEIGHT_OF_PREFERRED_EQUITY","FY 2021","FY 2021","Currency=AUD","Period=FY","BEST_FPERIOD_OVERRIDE=FY","FILING_STATUS=MR","Sort=D","Dates=H","DateFormat=P","Fill=—","Direction=H","UseDPDF=Y")</f>
        <v>#NAME?</v>
      </c>
      <c r="G14" s="10" t="e">
        <f ca="1">_xll.BDH("JBH AU Equity","WACC_WEIGHT_OF_PREFERRED_EQUITY","FY 2020","FY 2020","Currency=AUD","Period=FY","BEST_FPERIOD_OVERRIDE=FY","FILING_STATUS=MR","Sort=D","Dates=H","DateFormat=P","Fill=—","Direction=H","UseDPDF=Y")</f>
        <v>#NAME?</v>
      </c>
      <c r="H14" s="10" t="e">
        <f ca="1">_xll.BDH("JBH AU Equity","WACC_WEIGHT_OF_PREFERRED_EQUITY","FY 2019","FY 2019","Currency=AUD","Period=FY","BEST_FPERIOD_OVERRIDE=FY","FILING_STATUS=MR","Sort=D","Dates=H","DateFormat=P","Fill=—","Direction=H","UseDPDF=Y")</f>
        <v>#NAME?</v>
      </c>
    </row>
    <row r="15" spans="1:8">
      <c r="A15" s="11" t="s">
        <v>684</v>
      </c>
      <c r="B15" s="11" t="s">
        <v>684</v>
      </c>
      <c r="C15" s="57" t="e">
        <f ca="1">_xll.BDH("JBH AU Equity","WACC","FY 2024","FY 2024","Currency=AUD","Period=FY","BEST_FPERIOD_OVERRIDE=FY","FILING_STATUS=MR","Sort=D","Dates=H","DateFormat=P","Fill=—","Direction=H","UseDPDF=Y")</f>
        <v>#NAME?</v>
      </c>
      <c r="D15" s="57" t="e">
        <f ca="1">_xll.BDH("JBH AU Equity","WACC","FY 2023","FY 2023","Currency=AUD","Period=FY","BEST_FPERIOD_OVERRIDE=FY","FILING_STATUS=MR","Sort=D","Dates=H","DateFormat=P","Fill=—","Direction=H","UseDPDF=Y")</f>
        <v>#NAME?</v>
      </c>
      <c r="E15" s="57" t="e">
        <f ca="1">_xll.BDH("JBH AU Equity","WACC","FY 2022","FY 2022","Currency=AUD","Period=FY","BEST_FPERIOD_OVERRIDE=FY","FILING_STATUS=MR","Sort=D","Dates=H","DateFormat=P","Fill=—","Direction=H","UseDPDF=Y")</f>
        <v>#NAME?</v>
      </c>
      <c r="F15" s="57" t="e">
        <f ca="1">_xll.BDH("JBH AU Equity","WACC","FY 2021","FY 2021","Currency=AUD","Period=FY","BEST_FPERIOD_OVERRIDE=FY","FILING_STATUS=MR","Sort=D","Dates=H","DateFormat=P","Fill=—","Direction=H","UseDPDF=Y")</f>
        <v>#NAME?</v>
      </c>
      <c r="G15" s="57" t="e">
        <f ca="1">_xll.BDH("JBH AU Equity","WACC","FY 2020","FY 2020","Currency=AUD","Period=FY","BEST_FPERIOD_OVERRIDE=FY","FILING_STATUS=MR","Sort=D","Dates=H","DateFormat=P","Fill=—","Direction=H","UseDPDF=Y")</f>
        <v>#NAME?</v>
      </c>
      <c r="H15" s="57" t="e">
        <f ca="1">_xll.BDH("JBH AU Equity","WACC","FY 2019","FY 2019","Currency=AUD","Period=FY","BEST_FPERIOD_OVERRIDE=FY","FILING_STATUS=MR","Sort=D","Dates=H","DateFormat=P","Fill=—","Direction=H","UseDPDF=Y")</f>
        <v>#NAME?</v>
      </c>
    </row>
    <row r="16" spans="1:8">
      <c r="A16" s="11"/>
      <c r="B16" s="12"/>
      <c r="C16" s="12"/>
      <c r="D16" s="12"/>
      <c r="E16" s="12"/>
      <c r="F16" s="12"/>
      <c r="G16" s="12"/>
      <c r="H16" s="12"/>
    </row>
    <row r="17" spans="1:8">
      <c r="A17" s="11" t="s">
        <v>2379</v>
      </c>
      <c r="B17" s="12"/>
      <c r="C17" s="12"/>
      <c r="D17" s="12"/>
      <c r="E17" s="12"/>
      <c r="F17" s="12"/>
      <c r="G17" s="12"/>
      <c r="H17" s="12"/>
    </row>
    <row r="18" spans="1:8">
      <c r="A18" s="8" t="s">
        <v>2380</v>
      </c>
      <c r="B18" s="8" t="s">
        <v>31</v>
      </c>
      <c r="C18" s="10" t="e">
        <f ca="1">_xll.BDH("JBH AU Equity","HISTORICAL_MARKET_CAP","FY 2024","FY 2024","Currency=AUD","Period=FY","BEST_FPERIOD_OVERRIDE=FY","FILING_STATUS=MR","SCALING_FORMAT=MLN","Sort=D","Dates=H","DateFormat=P","Fill=—","Direction=H","UseDPDF=Y")</f>
        <v>#NAME?</v>
      </c>
      <c r="D18" s="10" t="e">
        <f ca="1">_xll.BDH("JBH AU Equity","HISTORICAL_MARKET_CAP","FY 2023","FY 2023","Currency=AUD","Period=FY","BEST_FPERIOD_OVERRIDE=FY","FILING_STATUS=MR","SCALING_FORMAT=MLN","Sort=D","Dates=H","DateFormat=P","Fill=—","Direction=H","UseDPDF=Y")</f>
        <v>#NAME?</v>
      </c>
      <c r="E18" s="10" t="e">
        <f ca="1">_xll.BDH("JBH AU Equity","HISTORICAL_MARKET_CAP","FY 2022","FY 2022","Currency=AUD","Period=FY","BEST_FPERIOD_OVERRIDE=FY","FILING_STATUS=MR","SCALING_FORMAT=MLN","Sort=D","Dates=H","DateFormat=P","Fill=—","Direction=H","UseDPDF=Y")</f>
        <v>#NAME?</v>
      </c>
      <c r="F18" s="10" t="e">
        <f ca="1">_xll.BDH("JBH AU Equity","HISTORICAL_MARKET_CAP","FY 2021","FY 2021","Currency=AUD","Period=FY","BEST_FPERIOD_OVERRIDE=FY","FILING_STATUS=MR","SCALING_FORMAT=MLN","Sort=D","Dates=H","DateFormat=P","Fill=—","Direction=H","UseDPDF=Y")</f>
        <v>#NAME?</v>
      </c>
      <c r="G18" s="10" t="e">
        <f ca="1">_xll.BDH("JBH AU Equity","HISTORICAL_MARKET_CAP","FY 2020","FY 2020","Currency=AUD","Period=FY","BEST_FPERIOD_OVERRIDE=FY","FILING_STATUS=MR","SCALING_FORMAT=MLN","Sort=D","Dates=H","DateFormat=P","Fill=—","Direction=H","UseDPDF=Y")</f>
        <v>#NAME?</v>
      </c>
      <c r="H18" s="10" t="e">
        <f ca="1">_xll.BDH("JBH AU Equity","HISTORICAL_MARKET_CAP","FY 2019","FY 2019","Currency=AUD","Period=FY","BEST_FPERIOD_OVERRIDE=FY","FILING_STATUS=MR","SCALING_FORMAT=MLN","Sort=D","Dates=H","DateFormat=P","Fill=—","Direction=H","UseDPDF=Y")</f>
        <v>#NAME?</v>
      </c>
    </row>
    <row r="19" spans="1:8">
      <c r="A19" s="8" t="s">
        <v>2381</v>
      </c>
      <c r="B19" s="8" t="s">
        <v>461</v>
      </c>
      <c r="C19" s="10" t="e">
        <f ca="1">_xll.BDH("JBH AU Equity","BS_ST_BORROW","FY 2024","FY 2024","Currency=AUD","Period=FY","BEST_FPERIOD_OVERRIDE=FY","FILING_STATUS=MR","SCALING_FORMAT=MLN","Sort=D","Dates=H","DateFormat=P","Fill=—","Direction=H","UseDPDF=Y")</f>
        <v>#NAME?</v>
      </c>
      <c r="D19" s="10" t="e">
        <f ca="1">_xll.BDH("JBH AU Equity","BS_ST_BORROW","FY 2023","FY 2023","Currency=AUD","Period=FY","BEST_FPERIOD_OVERRIDE=FY","FILING_STATUS=MR","SCALING_FORMAT=MLN","Sort=D","Dates=H","DateFormat=P","Fill=—","Direction=H","UseDPDF=Y")</f>
        <v>#NAME?</v>
      </c>
      <c r="E19" s="10" t="e">
        <f ca="1">_xll.BDH("JBH AU Equity","BS_ST_BORROW","FY 2022","FY 2022","Currency=AUD","Period=FY","BEST_FPERIOD_OVERRIDE=FY","FILING_STATUS=MR","SCALING_FORMAT=MLN","Sort=D","Dates=H","DateFormat=P","Fill=—","Direction=H","UseDPDF=Y")</f>
        <v>#NAME?</v>
      </c>
      <c r="F19" s="10" t="e">
        <f ca="1">_xll.BDH("JBH AU Equity","BS_ST_BORROW","FY 2021","FY 2021","Currency=AUD","Period=FY","BEST_FPERIOD_OVERRIDE=FY","FILING_STATUS=MR","SCALING_FORMAT=MLN","Sort=D","Dates=H","DateFormat=P","Fill=—","Direction=H","UseDPDF=Y")</f>
        <v>#NAME?</v>
      </c>
      <c r="G19" s="10" t="e">
        <f ca="1">_xll.BDH("JBH AU Equity","BS_ST_BORROW","FY 2020","FY 2020","Currency=AUD","Period=FY","BEST_FPERIOD_OVERRIDE=FY","FILING_STATUS=MR","SCALING_FORMAT=MLN","Sort=D","Dates=H","DateFormat=P","Fill=—","Direction=H","UseDPDF=Y")</f>
        <v>#NAME?</v>
      </c>
      <c r="H19" s="10" t="e">
        <f ca="1">_xll.BDH("JBH AU Equity","BS_ST_BORROW","FY 2019","FY 2019","Currency=AUD","Period=FY","BEST_FPERIOD_OVERRIDE=FY","FILING_STATUS=MR","SCALING_FORMAT=MLN","Sort=D","Dates=H","DateFormat=P","Fill=—","Direction=H","UseDPDF=Y")</f>
        <v>#NAME?</v>
      </c>
    </row>
    <row r="20" spans="1:8">
      <c r="A20" s="8" t="s">
        <v>2382</v>
      </c>
      <c r="B20" s="8" t="s">
        <v>479</v>
      </c>
      <c r="C20" s="10" t="e">
        <f ca="1">_xll.BDH("JBH AU Equity","BS_LT_BORROW","FY 2024","FY 2024","Currency=AUD","Period=FY","BEST_FPERIOD_OVERRIDE=FY","FILING_STATUS=MR","SCALING_FORMAT=MLN","Sort=D","Dates=H","DateFormat=P","Fill=—","Direction=H","UseDPDF=Y")</f>
        <v>#NAME?</v>
      </c>
      <c r="D20" s="10" t="e">
        <f ca="1">_xll.BDH("JBH AU Equity","BS_LT_BORROW","FY 2023","FY 2023","Currency=AUD","Period=FY","BEST_FPERIOD_OVERRIDE=FY","FILING_STATUS=MR","SCALING_FORMAT=MLN","Sort=D","Dates=H","DateFormat=P","Fill=—","Direction=H","UseDPDF=Y")</f>
        <v>#NAME?</v>
      </c>
      <c r="E20" s="10" t="e">
        <f ca="1">_xll.BDH("JBH AU Equity","BS_LT_BORROW","FY 2022","FY 2022","Currency=AUD","Period=FY","BEST_FPERIOD_OVERRIDE=FY","FILING_STATUS=MR","SCALING_FORMAT=MLN","Sort=D","Dates=H","DateFormat=P","Fill=—","Direction=H","UseDPDF=Y")</f>
        <v>#NAME?</v>
      </c>
      <c r="F20" s="10" t="e">
        <f ca="1">_xll.BDH("JBH AU Equity","BS_LT_BORROW","FY 2021","FY 2021","Currency=AUD","Period=FY","BEST_FPERIOD_OVERRIDE=FY","FILING_STATUS=MR","SCALING_FORMAT=MLN","Sort=D","Dates=H","DateFormat=P","Fill=—","Direction=H","UseDPDF=Y")</f>
        <v>#NAME?</v>
      </c>
      <c r="G20" s="10" t="e">
        <f ca="1">_xll.BDH("JBH AU Equity","BS_LT_BORROW","FY 2020","FY 2020","Currency=AUD","Period=FY","BEST_FPERIOD_OVERRIDE=FY","FILING_STATUS=MR","SCALING_FORMAT=MLN","Sort=D","Dates=H","DateFormat=P","Fill=—","Direction=H","UseDPDF=Y")</f>
        <v>#NAME?</v>
      </c>
      <c r="H20" s="10" t="e">
        <f ca="1">_xll.BDH("JBH AU Equity","BS_LT_BORROW","FY 2019","FY 2019","Currency=AUD","Period=FY","BEST_FPERIOD_OVERRIDE=FY","FILING_STATUS=MR","SCALING_FORMAT=MLN","Sort=D","Dates=H","DateFormat=P","Fill=—","Direction=H","UseDPDF=Y")</f>
        <v>#NAME?</v>
      </c>
    </row>
    <row r="21" spans="1:8">
      <c r="A21" s="8" t="s">
        <v>2383</v>
      </c>
      <c r="B21" s="8" t="s">
        <v>507</v>
      </c>
      <c r="C21" s="10" t="e">
        <f ca="1">_xll.BDH("JBH AU Equity","PFD_EQTY_HYBRID_CAPITAL","FY 2024","FY 2024","Currency=AUD","Period=FY","BEST_FPERIOD_OVERRIDE=FY","FILING_STATUS=MR","SCALING_FORMAT=MLN","Sort=D","Dates=H","DateFormat=P","Fill=—","Direction=H","UseDPDF=Y")</f>
        <v>#NAME?</v>
      </c>
      <c r="D21" s="10" t="e">
        <f ca="1">_xll.BDH("JBH AU Equity","PFD_EQTY_HYBRID_CAPITAL","FY 2023","FY 2023","Currency=AUD","Period=FY","BEST_FPERIOD_OVERRIDE=FY","FILING_STATUS=MR","SCALING_FORMAT=MLN","Sort=D","Dates=H","DateFormat=P","Fill=—","Direction=H","UseDPDF=Y")</f>
        <v>#NAME?</v>
      </c>
      <c r="E21" s="10" t="e">
        <f ca="1">_xll.BDH("JBH AU Equity","PFD_EQTY_HYBRID_CAPITAL","FY 2022","FY 2022","Currency=AUD","Period=FY","BEST_FPERIOD_OVERRIDE=FY","FILING_STATUS=MR","SCALING_FORMAT=MLN","Sort=D","Dates=H","DateFormat=P","Fill=—","Direction=H","UseDPDF=Y")</f>
        <v>#NAME?</v>
      </c>
      <c r="F21" s="10" t="e">
        <f ca="1">_xll.BDH("JBH AU Equity","PFD_EQTY_HYBRID_CAPITAL","FY 2021","FY 2021","Currency=AUD","Period=FY","BEST_FPERIOD_OVERRIDE=FY","FILING_STATUS=MR","SCALING_FORMAT=MLN","Sort=D","Dates=H","DateFormat=P","Fill=—","Direction=H","UseDPDF=Y")</f>
        <v>#NAME?</v>
      </c>
      <c r="G21" s="10" t="e">
        <f ca="1">_xll.BDH("JBH AU Equity","PFD_EQTY_HYBRID_CAPITAL","FY 2020","FY 2020","Currency=AUD","Period=FY","BEST_FPERIOD_OVERRIDE=FY","FILING_STATUS=MR","SCALING_FORMAT=MLN","Sort=D","Dates=H","DateFormat=P","Fill=—","Direction=H","UseDPDF=Y")</f>
        <v>#NAME?</v>
      </c>
      <c r="H21" s="10" t="e">
        <f ca="1">_xll.BDH("JBH AU Equity","PFD_EQTY_HYBRID_CAPITAL","FY 2019","FY 2019","Currency=AUD","Period=FY","BEST_FPERIOD_OVERRIDE=FY","FILING_STATUS=MR","SCALING_FORMAT=MLN","Sort=D","Dates=H","DateFormat=P","Fill=—","Direction=H","UseDPDF=Y")</f>
        <v>#NAME?</v>
      </c>
    </row>
    <row r="22" spans="1:8">
      <c r="A22" s="11" t="s">
        <v>2384</v>
      </c>
      <c r="B22" s="11" t="s">
        <v>2385</v>
      </c>
      <c r="C22" s="57" t="e">
        <f ca="1">_xll.BDH("JBH AU Equity","WACC_TOTAL_CAPITAL","FY 2024","FY 2024","Currency=AUD","Period=FY","BEST_FPERIOD_OVERRIDE=FY","FILING_STATUS=MR","SCALING_FORMAT=MLN","Sort=D","Dates=H","DateFormat=P","Fill=—","Direction=H","UseDPDF=Y")</f>
        <v>#NAME?</v>
      </c>
      <c r="D22" s="57" t="e">
        <f ca="1">_xll.BDH("JBH AU Equity","WACC_TOTAL_CAPITAL","FY 2023","FY 2023","Currency=AUD","Period=FY","BEST_FPERIOD_OVERRIDE=FY","FILING_STATUS=MR","SCALING_FORMAT=MLN","Sort=D","Dates=H","DateFormat=P","Fill=—","Direction=H","UseDPDF=Y")</f>
        <v>#NAME?</v>
      </c>
      <c r="E22" s="57" t="e">
        <f ca="1">_xll.BDH("JBH AU Equity","WACC_TOTAL_CAPITAL","FY 2022","FY 2022","Currency=AUD","Period=FY","BEST_FPERIOD_OVERRIDE=FY","FILING_STATUS=MR","SCALING_FORMAT=MLN","Sort=D","Dates=H","DateFormat=P","Fill=—","Direction=H","UseDPDF=Y")</f>
        <v>#NAME?</v>
      </c>
      <c r="F22" s="57" t="e">
        <f ca="1">_xll.BDH("JBH AU Equity","WACC_TOTAL_CAPITAL","FY 2021","FY 2021","Currency=AUD","Period=FY","BEST_FPERIOD_OVERRIDE=FY","FILING_STATUS=MR","SCALING_FORMAT=MLN","Sort=D","Dates=H","DateFormat=P","Fill=—","Direction=H","UseDPDF=Y")</f>
        <v>#NAME?</v>
      </c>
      <c r="G22" s="57" t="e">
        <f ca="1">_xll.BDH("JBH AU Equity","WACC_TOTAL_CAPITAL","FY 2020","FY 2020","Currency=AUD","Period=FY","BEST_FPERIOD_OVERRIDE=FY","FILING_STATUS=MR","SCALING_FORMAT=MLN","Sort=D","Dates=H","DateFormat=P","Fill=—","Direction=H","UseDPDF=Y")</f>
        <v>#NAME?</v>
      </c>
      <c r="H22" s="57" t="e">
        <f ca="1">_xll.BDH("JBH AU Equity","WACC_TOTAL_CAPITAL","FY 2019","FY 2019","Currency=AUD","Period=FY","BEST_FPERIOD_OVERRIDE=FY","FILING_STATUS=MR","SCALING_FORMAT=MLN","Sort=D","Dates=H","DateFormat=P","Fill=—","Direction=H","UseDPDF=Y")</f>
        <v>#NAME?</v>
      </c>
    </row>
    <row r="23" spans="1:8">
      <c r="A23" s="11"/>
      <c r="B23" s="12"/>
      <c r="C23" s="12"/>
      <c r="D23" s="12"/>
      <c r="E23" s="12"/>
      <c r="F23" s="12"/>
      <c r="G23" s="12"/>
      <c r="H23" s="12"/>
    </row>
    <row r="24" spans="1:8">
      <c r="A24" s="11" t="s">
        <v>2386</v>
      </c>
      <c r="B24" s="12"/>
      <c r="C24" s="12"/>
      <c r="D24" s="12"/>
      <c r="E24" s="12"/>
      <c r="F24" s="12"/>
      <c r="G24" s="12"/>
      <c r="H24" s="12"/>
    </row>
    <row r="25" spans="1:8">
      <c r="A25" s="8" t="s">
        <v>2387</v>
      </c>
      <c r="B25" s="8" t="s">
        <v>2388</v>
      </c>
      <c r="C25" s="10" t="e">
        <f ca="1">_xll.BDH("JBH AU Equity","WACC_NET_OPER_PROFIT","FY 2024","FY 2024","Currency=AUD","Period=FY","BEST_FPERIOD_OVERRIDE=FY","FILING_STATUS=MR","SCALING_FORMAT=MLN","Sort=D","Dates=H","DateFormat=P","Fill=—","Direction=H","UseDPDF=Y")</f>
        <v>#NAME?</v>
      </c>
      <c r="D25" s="10" t="e">
        <f ca="1">_xll.BDH("JBH AU Equity","WACC_NET_OPER_PROFIT","FY 2023","FY 2023","Currency=AUD","Period=FY","BEST_FPERIOD_OVERRIDE=FY","FILING_STATUS=MR","SCALING_FORMAT=MLN","Sort=D","Dates=H","DateFormat=P","Fill=—","Direction=H","UseDPDF=Y")</f>
        <v>#NAME?</v>
      </c>
      <c r="E25" s="10" t="e">
        <f ca="1">_xll.BDH("JBH AU Equity","WACC_NET_OPER_PROFIT","FY 2022","FY 2022","Currency=AUD","Period=FY","BEST_FPERIOD_OVERRIDE=FY","FILING_STATUS=MR","SCALING_FORMAT=MLN","Sort=D","Dates=H","DateFormat=P","Fill=—","Direction=H","UseDPDF=Y")</f>
        <v>#NAME?</v>
      </c>
      <c r="F25" s="10" t="e">
        <f ca="1">_xll.BDH("JBH AU Equity","WACC_NET_OPER_PROFIT","FY 2021","FY 2021","Currency=AUD","Period=FY","BEST_FPERIOD_OVERRIDE=FY","FILING_STATUS=MR","SCALING_FORMAT=MLN","Sort=D","Dates=H","DateFormat=P","Fill=—","Direction=H","UseDPDF=Y")</f>
        <v>#NAME?</v>
      </c>
      <c r="G25" s="10" t="e">
        <f ca="1">_xll.BDH("JBH AU Equity","WACC_NET_OPER_PROFIT","FY 2020","FY 2020","Currency=AUD","Period=FY","BEST_FPERIOD_OVERRIDE=FY","FILING_STATUS=MR","SCALING_FORMAT=MLN","Sort=D","Dates=H","DateFormat=P","Fill=—","Direction=H","UseDPDF=Y")</f>
        <v>#NAME?</v>
      </c>
      <c r="H25" s="10" t="e">
        <f ca="1">_xll.BDH("JBH AU Equity","WACC_NET_OPER_PROFIT","FY 2019","FY 2019","Currency=AUD","Period=FY","BEST_FPERIOD_OVERRIDE=FY","FILING_STATUS=MR","SCALING_FORMAT=MLN","Sort=D","Dates=H","DateFormat=P","Fill=—","Direction=H","UseDPDF=Y")</f>
        <v>#NAME?</v>
      </c>
    </row>
    <row r="26" spans="1:8">
      <c r="A26" s="8" t="s">
        <v>2389</v>
      </c>
      <c r="B26" s="8" t="s">
        <v>2390</v>
      </c>
      <c r="C26" s="10" t="e">
        <f ca="1">_xll.BDH("JBH AU Equity","WACC_CASH_OPER_TAXES","FY 2024","FY 2024","Currency=AUD","Period=FY","BEST_FPERIOD_OVERRIDE=FY","FILING_STATUS=MR","SCALING_FORMAT=MLN","Sort=D","Dates=H","DateFormat=P","Fill=—","Direction=H","UseDPDF=Y")</f>
        <v>#NAME?</v>
      </c>
      <c r="D26" s="10" t="e">
        <f ca="1">_xll.BDH("JBH AU Equity","WACC_CASH_OPER_TAXES","FY 2023","FY 2023","Currency=AUD","Period=FY","BEST_FPERIOD_OVERRIDE=FY","FILING_STATUS=MR","SCALING_FORMAT=MLN","Sort=D","Dates=H","DateFormat=P","Fill=—","Direction=H","UseDPDF=Y")</f>
        <v>#NAME?</v>
      </c>
      <c r="E26" s="10" t="e">
        <f ca="1">_xll.BDH("JBH AU Equity","WACC_CASH_OPER_TAXES","FY 2022","FY 2022","Currency=AUD","Period=FY","BEST_FPERIOD_OVERRIDE=FY","FILING_STATUS=MR","SCALING_FORMAT=MLN","Sort=D","Dates=H","DateFormat=P","Fill=—","Direction=H","UseDPDF=Y")</f>
        <v>#NAME?</v>
      </c>
      <c r="F26" s="10" t="e">
        <f ca="1">_xll.BDH("JBH AU Equity","WACC_CASH_OPER_TAXES","FY 2021","FY 2021","Currency=AUD","Period=FY","BEST_FPERIOD_OVERRIDE=FY","FILING_STATUS=MR","SCALING_FORMAT=MLN","Sort=D","Dates=H","DateFormat=P","Fill=—","Direction=H","UseDPDF=Y")</f>
        <v>#NAME?</v>
      </c>
      <c r="G26" s="10" t="e">
        <f ca="1">_xll.BDH("JBH AU Equity","WACC_CASH_OPER_TAXES","FY 2020","FY 2020","Currency=AUD","Period=FY","BEST_FPERIOD_OVERRIDE=FY","FILING_STATUS=MR","SCALING_FORMAT=MLN","Sort=D","Dates=H","DateFormat=P","Fill=—","Direction=H","UseDPDF=Y")</f>
        <v>#NAME?</v>
      </c>
      <c r="H26" s="10" t="e">
        <f ca="1">_xll.BDH("JBH AU Equity","WACC_CASH_OPER_TAXES","FY 2019","FY 2019","Currency=AUD","Period=FY","BEST_FPERIOD_OVERRIDE=FY","FILING_STATUS=MR","SCALING_FORMAT=MLN","Sort=D","Dates=H","DateFormat=P","Fill=—","Direction=H","UseDPDF=Y")</f>
        <v>#NAME?</v>
      </c>
    </row>
    <row r="27" spans="1:8">
      <c r="A27" s="8" t="s">
        <v>2391</v>
      </c>
      <c r="B27" s="8" t="s">
        <v>2392</v>
      </c>
      <c r="C27" s="10" t="e">
        <f ca="1">_xll.BDH("JBH AU Equity","WACC_NOPAT","FY 2024","FY 2024","Currency=AUD","Period=FY","BEST_FPERIOD_OVERRIDE=FY","FILING_STATUS=MR","SCALING_FORMAT=MLN","Sort=D","Dates=H","DateFormat=P","Fill=—","Direction=H","UseDPDF=Y")</f>
        <v>#NAME?</v>
      </c>
      <c r="D27" s="10" t="e">
        <f ca="1">_xll.BDH("JBH AU Equity","WACC_NOPAT","FY 2023","FY 2023","Currency=AUD","Period=FY","BEST_FPERIOD_OVERRIDE=FY","FILING_STATUS=MR","SCALING_FORMAT=MLN","Sort=D","Dates=H","DateFormat=P","Fill=—","Direction=H","UseDPDF=Y")</f>
        <v>#NAME?</v>
      </c>
      <c r="E27" s="10" t="e">
        <f ca="1">_xll.BDH("JBH AU Equity","WACC_NOPAT","FY 2022","FY 2022","Currency=AUD","Period=FY","BEST_FPERIOD_OVERRIDE=FY","FILING_STATUS=MR","SCALING_FORMAT=MLN","Sort=D","Dates=H","DateFormat=P","Fill=—","Direction=H","UseDPDF=Y")</f>
        <v>#NAME?</v>
      </c>
      <c r="F27" s="10" t="e">
        <f ca="1">_xll.BDH("JBH AU Equity","WACC_NOPAT","FY 2021","FY 2021","Currency=AUD","Period=FY","BEST_FPERIOD_OVERRIDE=FY","FILING_STATUS=MR","SCALING_FORMAT=MLN","Sort=D","Dates=H","DateFormat=P","Fill=—","Direction=H","UseDPDF=Y")</f>
        <v>#NAME?</v>
      </c>
      <c r="G27" s="10" t="e">
        <f ca="1">_xll.BDH("JBH AU Equity","WACC_NOPAT","FY 2020","FY 2020","Currency=AUD","Period=FY","BEST_FPERIOD_OVERRIDE=FY","FILING_STATUS=MR","SCALING_FORMAT=MLN","Sort=D","Dates=H","DateFormat=P","Fill=—","Direction=H","UseDPDF=Y")</f>
        <v>#NAME?</v>
      </c>
      <c r="H27" s="10" t="e">
        <f ca="1">_xll.BDH("JBH AU Equity","WACC_NOPAT","FY 2019","FY 2019","Currency=AUD","Period=FY","BEST_FPERIOD_OVERRIDE=FY","FILING_STATUS=MR","SCALING_FORMAT=MLN","Sort=D","Dates=H","DateFormat=P","Fill=—","Direction=H","UseDPDF=Y")</f>
        <v>#NAME?</v>
      </c>
    </row>
    <row r="28" spans="1:8">
      <c r="A28" s="8" t="s">
        <v>2393</v>
      </c>
      <c r="B28" s="8" t="s">
        <v>2394</v>
      </c>
      <c r="C28" s="10" t="e">
        <f ca="1">_xll.BDH("JBH AU Equity","WACC_TOTAL_INV_CAPITAL","FY 2024","FY 2024","Currency=AUD","Period=FY","BEST_FPERIOD_OVERRIDE=FY","FILING_STATUS=MR","SCALING_FORMAT=MLN","Sort=D","Dates=H","DateFormat=P","Fill=—","Direction=H","UseDPDF=Y")</f>
        <v>#NAME?</v>
      </c>
      <c r="D28" s="10" t="e">
        <f ca="1">_xll.BDH("JBH AU Equity","WACC_TOTAL_INV_CAPITAL","FY 2023","FY 2023","Currency=AUD","Period=FY","BEST_FPERIOD_OVERRIDE=FY","FILING_STATUS=MR","SCALING_FORMAT=MLN","Sort=D","Dates=H","DateFormat=P","Fill=—","Direction=H","UseDPDF=Y")</f>
        <v>#NAME?</v>
      </c>
      <c r="E28" s="10" t="e">
        <f ca="1">_xll.BDH("JBH AU Equity","WACC_TOTAL_INV_CAPITAL","FY 2022","FY 2022","Currency=AUD","Period=FY","BEST_FPERIOD_OVERRIDE=FY","FILING_STATUS=MR","SCALING_FORMAT=MLN","Sort=D","Dates=H","DateFormat=P","Fill=—","Direction=H","UseDPDF=Y")</f>
        <v>#NAME?</v>
      </c>
      <c r="F28" s="10" t="e">
        <f ca="1">_xll.BDH("JBH AU Equity","WACC_TOTAL_INV_CAPITAL","FY 2021","FY 2021","Currency=AUD","Period=FY","BEST_FPERIOD_OVERRIDE=FY","FILING_STATUS=MR","SCALING_FORMAT=MLN","Sort=D","Dates=H","DateFormat=P","Fill=—","Direction=H","UseDPDF=Y")</f>
        <v>#NAME?</v>
      </c>
      <c r="G28" s="10" t="e">
        <f ca="1">_xll.BDH("JBH AU Equity","WACC_TOTAL_INV_CAPITAL","FY 2020","FY 2020","Currency=AUD","Period=FY","BEST_FPERIOD_OVERRIDE=FY","FILING_STATUS=MR","SCALING_FORMAT=MLN","Sort=D","Dates=H","DateFormat=P","Fill=—","Direction=H","UseDPDF=Y")</f>
        <v>#NAME?</v>
      </c>
      <c r="H28" s="10" t="e">
        <f ca="1">_xll.BDH("JBH AU Equity","WACC_TOTAL_INV_CAPITAL","FY 2019","FY 2019","Currency=AUD","Period=FY","BEST_FPERIOD_OVERRIDE=FY","FILING_STATUS=MR","SCALING_FORMAT=MLN","Sort=D","Dates=H","DateFormat=P","Fill=—","Direction=H","UseDPDF=Y")</f>
        <v>#NAME?</v>
      </c>
    </row>
    <row r="29" spans="1:8">
      <c r="A29" s="8" t="s">
        <v>684</v>
      </c>
      <c r="B29" s="8" t="s">
        <v>684</v>
      </c>
      <c r="C29" s="10" t="e">
        <f ca="1">_xll.BDH("JBH AU Equity","WACC","FY 2024","FY 2024","Currency=AUD","Period=FY","BEST_FPERIOD_OVERRIDE=FY","FILING_STATUS=MR","Sort=D","Dates=H","DateFormat=P","Fill=—","Direction=H","UseDPDF=Y")</f>
        <v>#NAME?</v>
      </c>
      <c r="D29" s="10" t="e">
        <f ca="1">_xll.BDH("JBH AU Equity","WACC","FY 2023","FY 2023","Currency=AUD","Period=FY","BEST_FPERIOD_OVERRIDE=FY","FILING_STATUS=MR","Sort=D","Dates=H","DateFormat=P","Fill=—","Direction=H","UseDPDF=Y")</f>
        <v>#NAME?</v>
      </c>
      <c r="E29" s="10" t="e">
        <f ca="1">_xll.BDH("JBH AU Equity","WACC","FY 2022","FY 2022","Currency=AUD","Period=FY","BEST_FPERIOD_OVERRIDE=FY","FILING_STATUS=MR","Sort=D","Dates=H","DateFormat=P","Fill=—","Direction=H","UseDPDF=Y")</f>
        <v>#NAME?</v>
      </c>
      <c r="F29" s="10" t="e">
        <f ca="1">_xll.BDH("JBH AU Equity","WACC","FY 2021","FY 2021","Currency=AUD","Period=FY","BEST_FPERIOD_OVERRIDE=FY","FILING_STATUS=MR","Sort=D","Dates=H","DateFormat=P","Fill=—","Direction=H","UseDPDF=Y")</f>
        <v>#NAME?</v>
      </c>
      <c r="G29" s="10" t="e">
        <f ca="1">_xll.BDH("JBH AU Equity","WACC","FY 2020","FY 2020","Currency=AUD","Period=FY","BEST_FPERIOD_OVERRIDE=FY","FILING_STATUS=MR","Sort=D","Dates=H","DateFormat=P","Fill=—","Direction=H","UseDPDF=Y")</f>
        <v>#NAME?</v>
      </c>
      <c r="H29" s="10" t="e">
        <f ca="1">_xll.BDH("JBH AU Equity","WACC","FY 2019","FY 2019","Currency=AUD","Period=FY","BEST_FPERIOD_OVERRIDE=FY","FILING_STATUS=MR","Sort=D","Dates=H","DateFormat=P","Fill=—","Direction=H","UseDPDF=Y")</f>
        <v>#NAME?</v>
      </c>
    </row>
    <row r="30" spans="1:8">
      <c r="A30" s="8" t="s">
        <v>2395</v>
      </c>
      <c r="B30" s="8" t="s">
        <v>2396</v>
      </c>
      <c r="C30" s="10" t="e">
        <f ca="1">_xll.BDH("JBH AU Equity","WACC_CAPITAL_CHARGE","FY 2024","FY 2024","Currency=AUD","Period=FY","BEST_FPERIOD_OVERRIDE=FY","FILING_STATUS=MR","SCALING_FORMAT=MLN","Sort=D","Dates=H","DateFormat=P","Fill=—","Direction=H","UseDPDF=Y")</f>
        <v>#NAME?</v>
      </c>
      <c r="D30" s="10" t="e">
        <f ca="1">_xll.BDH("JBH AU Equity","WACC_CAPITAL_CHARGE","FY 2023","FY 2023","Currency=AUD","Period=FY","BEST_FPERIOD_OVERRIDE=FY","FILING_STATUS=MR","SCALING_FORMAT=MLN","Sort=D","Dates=H","DateFormat=P","Fill=—","Direction=H","UseDPDF=Y")</f>
        <v>#NAME?</v>
      </c>
      <c r="E30" s="10" t="e">
        <f ca="1">_xll.BDH("JBH AU Equity","WACC_CAPITAL_CHARGE","FY 2022","FY 2022","Currency=AUD","Period=FY","BEST_FPERIOD_OVERRIDE=FY","FILING_STATUS=MR","SCALING_FORMAT=MLN","Sort=D","Dates=H","DateFormat=P","Fill=—","Direction=H","UseDPDF=Y")</f>
        <v>#NAME?</v>
      </c>
      <c r="F30" s="10" t="e">
        <f ca="1">_xll.BDH("JBH AU Equity","WACC_CAPITAL_CHARGE","FY 2021","FY 2021","Currency=AUD","Period=FY","BEST_FPERIOD_OVERRIDE=FY","FILING_STATUS=MR","SCALING_FORMAT=MLN","Sort=D","Dates=H","DateFormat=P","Fill=—","Direction=H","UseDPDF=Y")</f>
        <v>#NAME?</v>
      </c>
      <c r="G30" s="10" t="e">
        <f ca="1">_xll.BDH("JBH AU Equity","WACC_CAPITAL_CHARGE","FY 2020","FY 2020","Currency=AUD","Period=FY","BEST_FPERIOD_OVERRIDE=FY","FILING_STATUS=MR","SCALING_FORMAT=MLN","Sort=D","Dates=H","DateFormat=P","Fill=—","Direction=H","UseDPDF=Y")</f>
        <v>#NAME?</v>
      </c>
      <c r="H30" s="10" t="e">
        <f ca="1">_xll.BDH("JBH AU Equity","WACC_CAPITAL_CHARGE","FY 2019","FY 2019","Currency=AUD","Period=FY","BEST_FPERIOD_OVERRIDE=FY","FILING_STATUS=MR","SCALING_FORMAT=MLN","Sort=D","Dates=H","DateFormat=P","Fill=—","Direction=H","UseDPDF=Y")</f>
        <v>#NAME?</v>
      </c>
    </row>
    <row r="31" spans="1:8">
      <c r="A31" s="11" t="s">
        <v>2397</v>
      </c>
      <c r="B31" s="11" t="s">
        <v>2398</v>
      </c>
      <c r="C31" s="57" t="e">
        <f ca="1">_xll.BDH("JBH AU Equity","WACC_ECON_VALUE_ADDED","FY 2024","FY 2024","Currency=AUD","Period=FY","BEST_FPERIOD_OVERRIDE=FY","FILING_STATUS=MR","SCALING_FORMAT=MLN","Sort=D","Dates=H","DateFormat=P","Fill=—","Direction=H","UseDPDF=Y")</f>
        <v>#NAME?</v>
      </c>
      <c r="D31" s="57" t="e">
        <f ca="1">_xll.BDH("JBH AU Equity","WACC_ECON_VALUE_ADDED","FY 2023","FY 2023","Currency=AUD","Period=FY","BEST_FPERIOD_OVERRIDE=FY","FILING_STATUS=MR","SCALING_FORMAT=MLN","Sort=D","Dates=H","DateFormat=P","Fill=—","Direction=H","UseDPDF=Y")</f>
        <v>#NAME?</v>
      </c>
      <c r="E31" s="57" t="e">
        <f ca="1">_xll.BDH("JBH AU Equity","WACC_ECON_VALUE_ADDED","FY 2022","FY 2022","Currency=AUD","Period=FY","BEST_FPERIOD_OVERRIDE=FY","FILING_STATUS=MR","SCALING_FORMAT=MLN","Sort=D","Dates=H","DateFormat=P","Fill=—","Direction=H","UseDPDF=Y")</f>
        <v>#NAME?</v>
      </c>
      <c r="F31" s="57" t="e">
        <f ca="1">_xll.BDH("JBH AU Equity","WACC_ECON_VALUE_ADDED","FY 2021","FY 2021","Currency=AUD","Period=FY","BEST_FPERIOD_OVERRIDE=FY","FILING_STATUS=MR","SCALING_FORMAT=MLN","Sort=D","Dates=H","DateFormat=P","Fill=—","Direction=H","UseDPDF=Y")</f>
        <v>#NAME?</v>
      </c>
      <c r="G31" s="57" t="e">
        <f ca="1">_xll.BDH("JBH AU Equity","WACC_ECON_VALUE_ADDED","FY 2020","FY 2020","Currency=AUD","Period=FY","BEST_FPERIOD_OVERRIDE=FY","FILING_STATUS=MR","SCALING_FORMAT=MLN","Sort=D","Dates=H","DateFormat=P","Fill=—","Direction=H","UseDPDF=Y")</f>
        <v>#NAME?</v>
      </c>
      <c r="H31" s="57" t="e">
        <f ca="1">_xll.BDH("JBH AU Equity","WACC_ECON_VALUE_ADDED","FY 2019","FY 2019","Currency=AUD","Period=FY","BEST_FPERIOD_OVERRIDE=FY","FILING_STATUS=MR","SCALING_FORMAT=MLN","Sort=D","Dates=H","DateFormat=P","Fill=—","Direction=H","UseDPDF=Y")</f>
        <v>#NAME?</v>
      </c>
    </row>
    <row r="32" spans="1:8">
      <c r="A32" s="8" t="s">
        <v>2399</v>
      </c>
      <c r="B32" s="8" t="s">
        <v>2400</v>
      </c>
      <c r="C32" s="10" t="e">
        <f ca="1">_xll.BDH("JBH AU Equity","WACC_RETURN_ON_INV_CAPITAL","FY 2024","FY 2024","Currency=AUD","Period=FY","BEST_FPERIOD_OVERRIDE=FY","FILING_STATUS=MR","Sort=D","Dates=H","DateFormat=P","Fill=—","Direction=H","UseDPDF=Y")</f>
        <v>#NAME?</v>
      </c>
      <c r="D32" s="10" t="e">
        <f ca="1">_xll.BDH("JBH AU Equity","WACC_RETURN_ON_INV_CAPITAL","FY 2023","FY 2023","Currency=AUD","Period=FY","BEST_FPERIOD_OVERRIDE=FY","FILING_STATUS=MR","Sort=D","Dates=H","DateFormat=P","Fill=—","Direction=H","UseDPDF=Y")</f>
        <v>#NAME?</v>
      </c>
      <c r="E32" s="10" t="e">
        <f ca="1">_xll.BDH("JBH AU Equity","WACC_RETURN_ON_INV_CAPITAL","FY 2022","FY 2022","Currency=AUD","Period=FY","BEST_FPERIOD_OVERRIDE=FY","FILING_STATUS=MR","Sort=D","Dates=H","DateFormat=P","Fill=—","Direction=H","UseDPDF=Y")</f>
        <v>#NAME?</v>
      </c>
      <c r="F32" s="10" t="e">
        <f ca="1">_xll.BDH("JBH AU Equity","WACC_RETURN_ON_INV_CAPITAL","FY 2021","FY 2021","Currency=AUD","Period=FY","BEST_FPERIOD_OVERRIDE=FY","FILING_STATUS=MR","Sort=D","Dates=H","DateFormat=P","Fill=—","Direction=H","UseDPDF=Y")</f>
        <v>#NAME?</v>
      </c>
      <c r="G32" s="10" t="e">
        <f ca="1">_xll.BDH("JBH AU Equity","WACC_RETURN_ON_INV_CAPITAL","FY 2020","FY 2020","Currency=AUD","Period=FY","BEST_FPERIOD_OVERRIDE=FY","FILING_STATUS=MR","Sort=D","Dates=H","DateFormat=P","Fill=—","Direction=H","UseDPDF=Y")</f>
        <v>#NAME?</v>
      </c>
      <c r="H32" s="10" t="e">
        <f ca="1">_xll.BDH("JBH AU Equity","WACC_RETURN_ON_INV_CAPITAL","FY 2019","FY 2019","Currency=AUD","Period=FY","BEST_FPERIOD_OVERRIDE=FY","FILING_STATUS=MR","Sort=D","Dates=H","DateFormat=P","Fill=—","Direction=H","UseDPDF=Y")</f>
        <v>#NAME?</v>
      </c>
    </row>
    <row r="33" spans="1:8">
      <c r="A33" s="8" t="s">
        <v>2401</v>
      </c>
      <c r="B33" s="8" t="s">
        <v>2402</v>
      </c>
      <c r="C33" s="10" t="e">
        <f ca="1">_xll.BDH("JBH AU Equity","WACC_EVA_SPREAD","FY 2024","FY 2024","Currency=AUD","Period=FY","BEST_FPERIOD_OVERRIDE=FY","FILING_STATUS=MR","FA_ADJUSTED=GAAP","Sort=D","Dates=H","DateFormat=P","Fill=—","Direction=H","UseDPDF=Y")</f>
        <v>#NAME?</v>
      </c>
      <c r="D33" s="10" t="e">
        <f ca="1">_xll.BDH("JBH AU Equity","WACC_EVA_SPREAD","FY 2023","FY 2023","Currency=AUD","Period=FY","BEST_FPERIOD_OVERRIDE=FY","FILING_STATUS=MR","FA_ADJUSTED=GAAP","Sort=D","Dates=H","DateFormat=P","Fill=—","Direction=H","UseDPDF=Y")</f>
        <v>#NAME?</v>
      </c>
      <c r="E33" s="10" t="e">
        <f ca="1">_xll.BDH("JBH AU Equity","WACC_EVA_SPREAD","FY 2022","FY 2022","Currency=AUD","Period=FY","BEST_FPERIOD_OVERRIDE=FY","FILING_STATUS=MR","FA_ADJUSTED=GAAP","Sort=D","Dates=H","DateFormat=P","Fill=—","Direction=H","UseDPDF=Y")</f>
        <v>#NAME?</v>
      </c>
      <c r="F33" s="10" t="e">
        <f ca="1">_xll.BDH("JBH AU Equity","WACC_EVA_SPREAD","FY 2021","FY 2021","Currency=AUD","Period=FY","BEST_FPERIOD_OVERRIDE=FY","FILING_STATUS=MR","FA_ADJUSTED=GAAP","Sort=D","Dates=H","DateFormat=P","Fill=—","Direction=H","UseDPDF=Y")</f>
        <v>#NAME?</v>
      </c>
      <c r="G33" s="10" t="e">
        <f ca="1">_xll.BDH("JBH AU Equity","WACC_EVA_SPREAD","FY 2020","FY 2020","Currency=AUD","Period=FY","BEST_FPERIOD_OVERRIDE=FY","FILING_STATUS=MR","FA_ADJUSTED=GAAP","Sort=D","Dates=H","DateFormat=P","Fill=—","Direction=H","UseDPDF=Y")</f>
        <v>#NAME?</v>
      </c>
      <c r="H33" s="10" t="e">
        <f ca="1">_xll.BDH("JBH AU Equity","WACC_EVA_SPREAD","FY 2019","FY 2019","Currency=AUD","Period=FY","BEST_FPERIOD_OVERRIDE=FY","FILING_STATUS=MR","FA_ADJUSTED=GAAP","Sort=D","Dates=H","DateFormat=P","Fill=—","Direction=H","UseDPDF=Y")</f>
        <v>#NAME?</v>
      </c>
    </row>
    <row r="34" spans="1:8">
      <c r="A34" s="26" t="s">
        <v>75</v>
      </c>
      <c r="B34" s="26"/>
      <c r="C34" s="26" t="s">
        <v>76</v>
      </c>
      <c r="D34" s="26"/>
      <c r="E34" s="26"/>
      <c r="F34" s="26"/>
      <c r="G34" s="26"/>
      <c r="H34" s="26"/>
    </row>
    <row r="35" spans="1:8"/>
    <row r="36" spans="1:8"/>
    <row r="37" spans="1:8">
      <c r="A37" t="s">
        <v>2403</v>
      </c>
      <c r="C37" s="58" t="e">
        <f ca="1" xml:space="preserve"> AVERAGE(C15:H15)</f>
        <v>#NAME?</v>
      </c>
    </row>
    <row r="38" spans="1:8">
      <c r="A38" t="s">
        <v>686</v>
      </c>
      <c r="C38" t="e">
        <f t="shared" ref="C38:D38" ca="1" si="0">(C15-D15)/D15</f>
        <v>#NAME?</v>
      </c>
      <c r="D38" t="e">
        <f t="shared" ca="1" si="0"/>
        <v>#NAME?</v>
      </c>
      <c r="E38" t="e">
        <f ca="1">(E15-F15)/F15</f>
        <v>#NAME?</v>
      </c>
      <c r="F38" t="e">
        <f ca="1">(F15-G15)/G15</f>
        <v>#NAME?</v>
      </c>
      <c r="G38" t="e">
        <f ca="1">(G15-H15)/H15</f>
        <v>#NAME?</v>
      </c>
    </row>
    <row r="39" spans="1:8">
      <c r="A39" t="s">
        <v>687</v>
      </c>
      <c r="C39" t="e">
        <f ca="1">AVERAGE(C38:H38)</f>
        <v>#NAME?</v>
      </c>
    </row>
    <row r="40" spans="1:8"/>
    <row r="41" spans="1:8"/>
    <row r="42" spans="1:8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00645-E39F-4C1A-9F03-1BB95A71D826}">
  <dimension ref="A1:Z357"/>
  <sheetViews>
    <sheetView topLeftCell="L298" workbookViewId="0">
      <selection activeCell="L358" sqref="A358:XFD1048576"/>
    </sheetView>
  </sheetViews>
  <sheetFormatPr defaultRowHeight="15" zeroHeight="1"/>
  <cols>
    <col min="1" max="1" width="10.7109375" bestFit="1" customWidth="1"/>
    <col min="2" max="2" width="16.28515625" bestFit="1" customWidth="1"/>
    <col min="3" max="3" width="28.140625" bestFit="1" customWidth="1"/>
    <col min="4" max="4" width="12.7109375" bestFit="1" customWidth="1"/>
    <col min="6" max="6" width="11.140625" bestFit="1" customWidth="1"/>
    <col min="9" max="9" width="11" bestFit="1" customWidth="1"/>
    <col min="10" max="10" width="16.28515625" bestFit="1" customWidth="1"/>
    <col min="11" max="11" width="28.140625" bestFit="1" customWidth="1"/>
    <col min="12" max="12" width="17.42578125" bestFit="1" customWidth="1"/>
    <col min="16" max="16" width="18" bestFit="1" customWidth="1"/>
    <col min="17" max="17" width="12.7109375" bestFit="1" customWidth="1"/>
    <col min="18" max="18" width="14.5703125" bestFit="1" customWidth="1"/>
    <col min="19" max="19" width="18.5703125" bestFit="1" customWidth="1"/>
    <col min="21" max="21" width="13.42578125" bestFit="1" customWidth="1"/>
    <col min="22" max="22" width="12" bestFit="1" customWidth="1"/>
  </cols>
  <sheetData>
    <row r="1" spans="1:17">
      <c r="A1" s="25" t="s">
        <v>77</v>
      </c>
      <c r="I1" s="25" t="s">
        <v>78</v>
      </c>
    </row>
    <row r="2" spans="1:17">
      <c r="A2" s="22" t="s">
        <v>79</v>
      </c>
      <c r="B2" s="22" t="s">
        <v>80</v>
      </c>
      <c r="C2" s="22" t="s">
        <v>81</v>
      </c>
      <c r="D2" s="22" t="s">
        <v>82</v>
      </c>
      <c r="E2" s="22"/>
      <c r="F2" s="22"/>
      <c r="G2" s="22"/>
      <c r="H2" s="22"/>
      <c r="I2" s="22" t="s">
        <v>83</v>
      </c>
      <c r="J2" s="22" t="s">
        <v>80</v>
      </c>
      <c r="K2" s="22" t="s">
        <v>81</v>
      </c>
      <c r="L2" s="22" t="s">
        <v>84</v>
      </c>
    </row>
    <row r="3" spans="1:17">
      <c r="A3" s="24">
        <v>43556</v>
      </c>
      <c r="B3" s="23">
        <v>20.420000000000002</v>
      </c>
      <c r="C3" s="23">
        <v>20.420000000000002</v>
      </c>
      <c r="D3" s="23" t="e">
        <v>#VALUE!</v>
      </c>
      <c r="E3" s="23"/>
      <c r="F3" s="23"/>
      <c r="G3" s="23"/>
      <c r="H3" s="23"/>
      <c r="I3" s="24">
        <v>43556</v>
      </c>
      <c r="J3" s="23">
        <v>5619.3549999999996</v>
      </c>
      <c r="K3" s="23">
        <v>5619.3549999999996</v>
      </c>
      <c r="L3" s="23" t="e">
        <v>#VALUE!</v>
      </c>
    </row>
    <row r="4" spans="1:17">
      <c r="A4" s="24">
        <v>43770</v>
      </c>
      <c r="B4" s="23">
        <v>21.58</v>
      </c>
      <c r="C4" s="23">
        <v>21.58</v>
      </c>
      <c r="D4" s="23">
        <v>5.6807051999999997E-2</v>
      </c>
      <c r="E4" s="23"/>
      <c r="F4" s="23"/>
      <c r="G4" s="23"/>
      <c r="H4" s="23"/>
      <c r="I4" s="24">
        <v>43770</v>
      </c>
      <c r="J4" s="23">
        <v>5774.5829999999996</v>
      </c>
      <c r="K4" s="23">
        <v>5774.5829999999996</v>
      </c>
      <c r="L4" s="23">
        <v>2.7623811000000002E-2</v>
      </c>
    </row>
    <row r="5" spans="1:17">
      <c r="A5" s="23" t="s">
        <v>85</v>
      </c>
      <c r="B5" s="23">
        <v>21.6</v>
      </c>
      <c r="C5" s="23">
        <v>21.6</v>
      </c>
      <c r="D5" s="23">
        <v>9.2678400000000005E-4</v>
      </c>
      <c r="E5" s="23"/>
      <c r="F5" s="23"/>
      <c r="G5" s="23"/>
      <c r="H5" s="23"/>
      <c r="I5" s="23" t="s">
        <v>85</v>
      </c>
      <c r="J5" s="23">
        <v>5879.7453999999998</v>
      </c>
      <c r="K5" s="23">
        <v>5879.5940000000001</v>
      </c>
      <c r="L5" s="23">
        <v>1.8211254E-2</v>
      </c>
    </row>
    <row r="6" spans="1:17">
      <c r="A6" s="23" t="s">
        <v>86</v>
      </c>
      <c r="B6" s="23">
        <v>23</v>
      </c>
      <c r="C6" s="23">
        <v>23</v>
      </c>
      <c r="D6" s="23">
        <v>6.4814814999999998E-2</v>
      </c>
      <c r="E6" s="23"/>
      <c r="F6" s="23"/>
      <c r="G6" s="23"/>
      <c r="H6" s="23"/>
      <c r="I6" s="23" t="s">
        <v>86</v>
      </c>
      <c r="J6" s="23">
        <v>5905.7570999999998</v>
      </c>
      <c r="K6" s="23">
        <v>5905.6049999999996</v>
      </c>
      <c r="L6" s="23">
        <v>4.4239500000000003E-3</v>
      </c>
    </row>
    <row r="7" spans="1:17">
      <c r="A7" s="24">
        <v>43467</v>
      </c>
      <c r="B7" s="23">
        <v>22.73</v>
      </c>
      <c r="C7" s="23">
        <v>22.73</v>
      </c>
      <c r="D7" s="23">
        <v>-1.173913E-2</v>
      </c>
      <c r="E7" s="23"/>
      <c r="F7" s="23"/>
      <c r="G7" s="23"/>
      <c r="H7" s="23"/>
      <c r="I7" s="24">
        <v>43467</v>
      </c>
      <c r="J7" s="23">
        <v>5862.982</v>
      </c>
      <c r="K7" s="23">
        <v>5862.8310000000001</v>
      </c>
      <c r="L7" s="23">
        <v>-7.2429490000000003E-3</v>
      </c>
      <c r="P7" t="s">
        <v>87</v>
      </c>
    </row>
    <row r="8" spans="1:17" ht="15.75" thickBot="1">
      <c r="A8" s="24">
        <v>43679</v>
      </c>
      <c r="B8" s="23">
        <v>22.58</v>
      </c>
      <c r="C8" s="23">
        <v>22.58</v>
      </c>
      <c r="D8" s="23">
        <v>-6.5992079999999996E-3</v>
      </c>
      <c r="E8" s="23"/>
      <c r="F8" s="23"/>
      <c r="G8" s="23"/>
      <c r="H8" s="23"/>
      <c r="I8" s="24">
        <v>43679</v>
      </c>
      <c r="J8" s="23">
        <v>6071.7142000000003</v>
      </c>
      <c r="K8" s="23">
        <v>6071.4579999999996</v>
      </c>
      <c r="L8" s="23">
        <v>3.5601713E-2</v>
      </c>
    </row>
    <row r="9" spans="1:17">
      <c r="A9" s="23" t="s">
        <v>88</v>
      </c>
      <c r="B9" s="23">
        <v>23.11</v>
      </c>
      <c r="C9" s="23">
        <v>23.11</v>
      </c>
      <c r="D9" s="23">
        <v>2.3472099E-2</v>
      </c>
      <c r="E9" s="23"/>
      <c r="F9" s="23"/>
      <c r="G9" s="23"/>
      <c r="H9" s="23"/>
      <c r="I9" s="23" t="s">
        <v>88</v>
      </c>
      <c r="J9" s="23">
        <v>6089.5727999999999</v>
      </c>
      <c r="K9" s="23">
        <v>6066.1019999999999</v>
      </c>
      <c r="L9" s="23">
        <v>2.9412779999999999E-3</v>
      </c>
      <c r="P9" s="29" t="s">
        <v>89</v>
      </c>
      <c r="Q9" s="29"/>
    </row>
    <row r="10" spans="1:17">
      <c r="A10" s="23" t="s">
        <v>90</v>
      </c>
      <c r="B10" s="23">
        <v>23.757000000000001</v>
      </c>
      <c r="C10" s="23">
        <v>22.45</v>
      </c>
      <c r="D10" s="23">
        <v>2.7996538000000001E-2</v>
      </c>
      <c r="E10" s="23"/>
      <c r="F10" s="23"/>
      <c r="G10" s="23"/>
      <c r="H10" s="23"/>
      <c r="I10" s="23" t="s">
        <v>90</v>
      </c>
      <c r="J10" s="23">
        <v>6205.9544999999998</v>
      </c>
      <c r="K10" s="23">
        <v>6167.3130000000001</v>
      </c>
      <c r="L10" s="23">
        <v>1.9111636000000001E-2</v>
      </c>
      <c r="P10" t="s">
        <v>91</v>
      </c>
      <c r="Q10">
        <v>0.51696988226411122</v>
      </c>
    </row>
    <row r="11" spans="1:17">
      <c r="A11" s="24">
        <v>43468</v>
      </c>
      <c r="B11" s="23">
        <v>23.534800000000001</v>
      </c>
      <c r="C11" s="23">
        <v>22.24</v>
      </c>
      <c r="D11" s="23">
        <v>-9.3530330000000002E-3</v>
      </c>
      <c r="E11" s="23"/>
      <c r="F11" s="23"/>
      <c r="G11" s="23"/>
      <c r="H11" s="23"/>
      <c r="I11" s="24">
        <v>43468</v>
      </c>
      <c r="J11" s="23">
        <v>6259.5724</v>
      </c>
      <c r="K11" s="23">
        <v>6192.7330000000002</v>
      </c>
      <c r="L11" s="23">
        <v>8.6397509999999993E-3</v>
      </c>
      <c r="P11" t="s">
        <v>92</v>
      </c>
      <c r="Q11">
        <v>0.26725785916816908</v>
      </c>
    </row>
    <row r="12" spans="1:17">
      <c r="A12" s="24">
        <v>43680</v>
      </c>
      <c r="B12" s="23">
        <v>25.3126</v>
      </c>
      <c r="C12" s="23">
        <v>23.92</v>
      </c>
      <c r="D12" s="23">
        <v>7.5539202E-2</v>
      </c>
      <c r="E12" s="23"/>
      <c r="F12" s="23"/>
      <c r="G12" s="23"/>
      <c r="H12" s="23"/>
      <c r="I12" s="24">
        <v>43680</v>
      </c>
      <c r="J12" s="23">
        <v>6303.7542000000003</v>
      </c>
      <c r="K12" s="23">
        <v>6203.7610000000004</v>
      </c>
      <c r="L12" s="23">
        <v>7.0582780000000003E-3</v>
      </c>
      <c r="P12" t="s">
        <v>93</v>
      </c>
      <c r="Q12">
        <v>0.26499630935078688</v>
      </c>
    </row>
    <row r="13" spans="1:17">
      <c r="A13" s="23" t="s">
        <v>94</v>
      </c>
      <c r="B13" s="23">
        <v>25.503</v>
      </c>
      <c r="C13" s="23">
        <v>24.1</v>
      </c>
      <c r="D13" s="23">
        <v>7.5219459999999998E-3</v>
      </c>
      <c r="E13" s="23"/>
      <c r="F13" s="23"/>
      <c r="G13" s="23"/>
      <c r="H13" s="23"/>
      <c r="I13" s="23" t="s">
        <v>94</v>
      </c>
      <c r="J13" s="23">
        <v>6278.6188000000002</v>
      </c>
      <c r="K13" s="23">
        <v>6175.1729999999998</v>
      </c>
      <c r="L13" s="23">
        <v>-3.9873699999999996E-3</v>
      </c>
      <c r="P13" t="s">
        <v>95</v>
      </c>
      <c r="Q13">
        <v>3.5982875885079493E-2</v>
      </c>
    </row>
    <row r="14" spans="1:17" ht="15.75" thickBot="1">
      <c r="A14" s="23" t="s">
        <v>96</v>
      </c>
      <c r="B14" s="23">
        <v>25.439599999999999</v>
      </c>
      <c r="C14" s="23">
        <v>24.04</v>
      </c>
      <c r="D14" s="23">
        <v>-2.4859819999999999E-3</v>
      </c>
      <c r="E14" s="23"/>
      <c r="F14" s="31"/>
      <c r="G14" s="23"/>
      <c r="H14" s="23"/>
      <c r="I14" s="23" t="s">
        <v>96</v>
      </c>
      <c r="J14" s="23">
        <v>6300.6481999999996</v>
      </c>
      <c r="K14" s="23">
        <v>6195.232</v>
      </c>
      <c r="L14" s="23">
        <v>3.5086380000000001E-3</v>
      </c>
      <c r="P14" s="27" t="s">
        <v>97</v>
      </c>
      <c r="Q14" s="27">
        <v>326</v>
      </c>
    </row>
    <row r="15" spans="1:17">
      <c r="A15" s="23" t="s">
        <v>98</v>
      </c>
      <c r="B15" s="23">
        <v>26.4025</v>
      </c>
      <c r="C15" s="23">
        <v>24.95</v>
      </c>
      <c r="D15" s="23">
        <v>3.7850438E-2</v>
      </c>
      <c r="E15" s="23"/>
      <c r="F15" s="23"/>
      <c r="G15" s="23"/>
      <c r="H15" s="23"/>
      <c r="I15" s="23" t="s">
        <v>98</v>
      </c>
      <c r="J15" s="23">
        <v>6288.1716999999999</v>
      </c>
      <c r="K15" s="23">
        <v>6180.7309999999998</v>
      </c>
      <c r="L15" s="23">
        <v>-1.9801929999999999E-3</v>
      </c>
    </row>
    <row r="16" spans="1:17" ht="15.75" thickBot="1">
      <c r="A16" s="24">
        <v>43589</v>
      </c>
      <c r="B16" s="23">
        <v>25.926300000000001</v>
      </c>
      <c r="C16" s="23">
        <v>24.5</v>
      </c>
      <c r="D16" s="23">
        <v>-1.8036171E-2</v>
      </c>
      <c r="E16" s="23"/>
      <c r="F16" s="23"/>
      <c r="G16" s="23"/>
      <c r="H16" s="23"/>
      <c r="I16" s="24">
        <v>43589</v>
      </c>
      <c r="J16" s="23">
        <v>6289.5454</v>
      </c>
      <c r="K16" s="23">
        <v>6181.259</v>
      </c>
      <c r="L16" s="23">
        <v>2.1845799999999999E-4</v>
      </c>
      <c r="P16" t="s">
        <v>99</v>
      </c>
    </row>
    <row r="17" spans="1:22">
      <c r="A17" s="24">
        <v>43803</v>
      </c>
      <c r="B17" s="23">
        <v>26.540099999999999</v>
      </c>
      <c r="C17" s="23">
        <v>25.08</v>
      </c>
      <c r="D17" s="23">
        <v>2.3674800999999999E-2</v>
      </c>
      <c r="E17" s="23"/>
      <c r="F17" s="23"/>
      <c r="G17" s="23"/>
      <c r="H17" s="23"/>
      <c r="I17" s="24">
        <v>43803</v>
      </c>
      <c r="J17" s="23">
        <v>6360.9168</v>
      </c>
      <c r="K17" s="23">
        <v>6251.3230000000003</v>
      </c>
      <c r="L17" s="23">
        <v>1.1347625E-2</v>
      </c>
      <c r="P17" s="28"/>
      <c r="Q17" s="28" t="s">
        <v>100</v>
      </c>
      <c r="R17" s="28" t="s">
        <v>101</v>
      </c>
      <c r="S17" s="28" t="s">
        <v>102</v>
      </c>
      <c r="T17" s="28" t="s">
        <v>103</v>
      </c>
      <c r="U17" s="28" t="s">
        <v>104</v>
      </c>
    </row>
    <row r="18" spans="1:22">
      <c r="A18" s="23" t="s">
        <v>105</v>
      </c>
      <c r="B18" s="23">
        <v>27.164400000000001</v>
      </c>
      <c r="C18" s="23">
        <v>25.67</v>
      </c>
      <c r="D18" s="23">
        <v>2.3522896000000001E-2</v>
      </c>
      <c r="E18" s="23"/>
      <c r="F18" s="23"/>
      <c r="G18" s="23"/>
      <c r="H18" s="23"/>
      <c r="I18" s="23" t="s">
        <v>105</v>
      </c>
      <c r="J18" s="23">
        <v>6369.8905000000004</v>
      </c>
      <c r="K18" s="23">
        <v>6259.8149999999996</v>
      </c>
      <c r="L18" s="23">
        <v>1.410756E-3</v>
      </c>
      <c r="P18" t="s">
        <v>106</v>
      </c>
      <c r="Q18">
        <v>1</v>
      </c>
      <c r="R18">
        <v>0.15300867983654759</v>
      </c>
      <c r="S18">
        <v>0.15300867983654759</v>
      </c>
      <c r="T18">
        <v>118.17465046050913</v>
      </c>
      <c r="U18">
        <v>1.1255826753001598E-23</v>
      </c>
    </row>
    <row r="19" spans="1:22">
      <c r="A19" s="23" t="s">
        <v>107</v>
      </c>
      <c r="B19" s="23">
        <v>27.090399999999999</v>
      </c>
      <c r="C19" s="23">
        <v>25.6</v>
      </c>
      <c r="D19" s="23">
        <v>-2.7241539999999999E-3</v>
      </c>
      <c r="E19" s="23"/>
      <c r="F19" s="23"/>
      <c r="G19" s="23"/>
      <c r="H19" s="23"/>
      <c r="I19" s="23" t="s">
        <v>107</v>
      </c>
      <c r="J19" s="23">
        <v>6498.69</v>
      </c>
      <c r="K19" s="23">
        <v>6385.6459999999997</v>
      </c>
      <c r="L19" s="23">
        <v>2.0220049E-2</v>
      </c>
      <c r="P19" t="s">
        <v>108</v>
      </c>
      <c r="Q19">
        <v>324</v>
      </c>
      <c r="R19">
        <v>0.41950462365537539</v>
      </c>
      <c r="S19">
        <v>1.2947673569610352E-3</v>
      </c>
    </row>
    <row r="20" spans="1:22" ht="15.75" thickBot="1">
      <c r="A20" s="24">
        <v>43529</v>
      </c>
      <c r="B20" s="23">
        <v>26.825800000000001</v>
      </c>
      <c r="C20" s="23">
        <v>25.35</v>
      </c>
      <c r="D20" s="23">
        <v>-9.7672980000000006E-3</v>
      </c>
      <c r="E20" s="23"/>
      <c r="F20" s="23"/>
      <c r="G20" s="23"/>
      <c r="H20" s="23"/>
      <c r="I20" s="24">
        <v>43529</v>
      </c>
      <c r="J20" s="23">
        <v>6448.7775000000001</v>
      </c>
      <c r="K20" s="23">
        <v>6335.8</v>
      </c>
      <c r="L20" s="23">
        <v>-7.6803940000000001E-3</v>
      </c>
      <c r="P20" s="27" t="s">
        <v>109</v>
      </c>
      <c r="Q20" s="27">
        <v>325</v>
      </c>
      <c r="R20" s="27">
        <v>0.57251330349192298</v>
      </c>
      <c r="S20" s="27"/>
      <c r="T20" s="27"/>
      <c r="U20" s="27"/>
    </row>
    <row r="21" spans="1:22" ht="15.75" thickBot="1">
      <c r="A21" s="24">
        <v>43743</v>
      </c>
      <c r="B21" s="23">
        <v>26.921099999999999</v>
      </c>
      <c r="C21" s="23">
        <v>25.44</v>
      </c>
      <c r="D21" s="23">
        <v>3.5525499999999998E-3</v>
      </c>
      <c r="E21" s="23"/>
      <c r="F21" s="23"/>
      <c r="G21" s="23"/>
      <c r="H21" s="23"/>
      <c r="I21" s="24">
        <v>43743</v>
      </c>
      <c r="J21" s="23">
        <v>6423.5922</v>
      </c>
      <c r="K21" s="23">
        <v>6310.8519999999999</v>
      </c>
      <c r="L21" s="23">
        <v>-3.9054379999999998E-3</v>
      </c>
    </row>
    <row r="22" spans="1:22">
      <c r="A22" s="23" t="s">
        <v>110</v>
      </c>
      <c r="B22" s="23">
        <v>27.069199999999999</v>
      </c>
      <c r="C22" s="23">
        <v>25.58</v>
      </c>
      <c r="D22" s="23">
        <v>5.5012610000000003E-3</v>
      </c>
      <c r="E22" s="23"/>
      <c r="F22" s="23"/>
      <c r="G22" s="23"/>
      <c r="H22" s="23"/>
      <c r="I22" s="23" t="s">
        <v>110</v>
      </c>
      <c r="J22" s="23">
        <v>6527.6100999999999</v>
      </c>
      <c r="K22" s="23">
        <v>6365.299</v>
      </c>
      <c r="L22" s="23">
        <v>1.6193104999999999E-2</v>
      </c>
      <c r="P22" s="28"/>
      <c r="Q22" s="28" t="s">
        <v>111</v>
      </c>
      <c r="R22" s="28" t="s">
        <v>95</v>
      </c>
      <c r="S22" s="28" t="s">
        <v>112</v>
      </c>
      <c r="T22" s="28" t="s">
        <v>113</v>
      </c>
      <c r="U22" s="28" t="s">
        <v>114</v>
      </c>
      <c r="V22" s="28" t="s">
        <v>115</v>
      </c>
    </row>
    <row r="23" spans="1:22">
      <c r="A23" s="23" t="s">
        <v>116</v>
      </c>
      <c r="B23" s="23">
        <v>29.428999999999998</v>
      </c>
      <c r="C23" s="23">
        <v>27.81</v>
      </c>
      <c r="D23" s="23">
        <v>8.7176569999999995E-2</v>
      </c>
      <c r="E23" s="23"/>
      <c r="F23" s="23"/>
      <c r="G23" s="23"/>
      <c r="H23" s="23"/>
      <c r="I23" s="23" t="s">
        <v>116</v>
      </c>
      <c r="J23" s="23">
        <v>6621.2510000000002</v>
      </c>
      <c r="K23" s="23">
        <v>6456.0429999999997</v>
      </c>
      <c r="L23" s="23">
        <v>1.4345357E-2</v>
      </c>
      <c r="P23" t="s">
        <v>117</v>
      </c>
      <c r="Q23">
        <v>4.791443109691219E-3</v>
      </c>
      <c r="R23">
        <v>2.0039314908515487E-3</v>
      </c>
      <c r="S23">
        <v>2.3910214154352891</v>
      </c>
      <c r="T23">
        <v>1.7371916075895097E-2</v>
      </c>
      <c r="U23">
        <v>8.4908309412871398E-4</v>
      </c>
      <c r="V23">
        <v>8.7338031252537241E-3</v>
      </c>
    </row>
    <row r="24" spans="1:22" ht="15.75" thickBot="1">
      <c r="A24" s="23" t="s">
        <v>118</v>
      </c>
      <c r="B24" s="23">
        <v>29.757100000000001</v>
      </c>
      <c r="C24" s="23">
        <v>28.12</v>
      </c>
      <c r="D24" s="23">
        <v>1.1148867E-2</v>
      </c>
      <c r="E24" s="23"/>
      <c r="F24" s="23"/>
      <c r="G24" s="23"/>
      <c r="H24" s="23"/>
      <c r="I24" s="23" t="s">
        <v>118</v>
      </c>
      <c r="J24" s="23">
        <v>6562.2183999999997</v>
      </c>
      <c r="K24" s="23">
        <v>6396.8530000000001</v>
      </c>
      <c r="L24" s="23">
        <v>-8.9156259999999994E-3</v>
      </c>
      <c r="P24" s="27" t="str">
        <f>L2</f>
        <v>ASX200 Return</v>
      </c>
      <c r="Q24" s="27">
        <v>1.0643758804034797</v>
      </c>
      <c r="R24" s="27">
        <v>9.7911310022511439E-2</v>
      </c>
      <c r="S24" s="27">
        <v>10.870816457861324</v>
      </c>
      <c r="T24" s="27">
        <v>1.1255826753003865E-23</v>
      </c>
      <c r="U24" s="27">
        <v>0.87175370970239141</v>
      </c>
      <c r="V24" s="27">
        <v>1.256998051104568</v>
      </c>
    </row>
    <row r="25" spans="1:22">
      <c r="A25" s="24">
        <v>43652</v>
      </c>
      <c r="B25" s="23">
        <v>29.3338</v>
      </c>
      <c r="C25" s="23">
        <v>27.72</v>
      </c>
      <c r="D25" s="23">
        <v>-1.4225177E-2</v>
      </c>
      <c r="E25" s="23"/>
      <c r="F25" s="23"/>
      <c r="G25" s="23"/>
      <c r="H25" s="23"/>
      <c r="I25" s="24">
        <v>43652</v>
      </c>
      <c r="J25" s="23">
        <v>6611.4629999999997</v>
      </c>
      <c r="K25" s="23">
        <v>6443.8919999999998</v>
      </c>
      <c r="L25" s="23">
        <v>7.5042609999999999E-3</v>
      </c>
    </row>
    <row r="26" spans="1:22">
      <c r="A26" s="23" t="s">
        <v>119</v>
      </c>
      <c r="B26" s="23">
        <v>28.127400000000002</v>
      </c>
      <c r="C26" s="23">
        <v>26.58</v>
      </c>
      <c r="D26" s="23">
        <v>-4.1126617999999997E-2</v>
      </c>
      <c r="E26" s="23"/>
      <c r="F26" s="23"/>
      <c r="G26" s="23"/>
      <c r="H26" s="23"/>
      <c r="I26" s="23" t="s">
        <v>119</v>
      </c>
      <c r="J26" s="23">
        <v>6724.9939999999997</v>
      </c>
      <c r="K26" s="23">
        <v>6553.9970000000003</v>
      </c>
      <c r="L26" s="23">
        <v>1.7171842E-2</v>
      </c>
    </row>
    <row r="27" spans="1:22">
      <c r="A27" s="23" t="s">
        <v>120</v>
      </c>
      <c r="B27" s="23">
        <v>27.460699999999999</v>
      </c>
      <c r="C27" s="23">
        <v>25.95</v>
      </c>
      <c r="D27" s="23">
        <v>-2.3702866E-2</v>
      </c>
      <c r="E27" s="23"/>
      <c r="F27" s="23"/>
      <c r="G27" s="23"/>
      <c r="H27" s="23"/>
      <c r="I27" s="23" t="s">
        <v>120</v>
      </c>
      <c r="J27" s="23">
        <v>6824.6207999999997</v>
      </c>
      <c r="K27" s="23">
        <v>6650.7830000000004</v>
      </c>
      <c r="L27" s="23">
        <v>1.4814407E-2</v>
      </c>
    </row>
    <row r="28" spans="1:22">
      <c r="A28" s="23" t="s">
        <v>121</v>
      </c>
      <c r="B28" s="23">
        <v>27.354900000000001</v>
      </c>
      <c r="C28" s="23">
        <v>25.85</v>
      </c>
      <c r="D28" s="23">
        <v>-3.8527790000000002E-3</v>
      </c>
      <c r="E28" s="23"/>
      <c r="F28" s="23"/>
      <c r="G28" s="23"/>
      <c r="H28" s="23"/>
      <c r="I28" s="23" t="s">
        <v>121</v>
      </c>
      <c r="J28" s="23">
        <v>6805.7030000000004</v>
      </c>
      <c r="K28" s="23">
        <v>6618.7719999999999</v>
      </c>
      <c r="L28" s="23">
        <v>-2.7719929999999999E-3</v>
      </c>
      <c r="P28" t="s">
        <v>122</v>
      </c>
    </row>
    <row r="29" spans="1:22" ht="15.75" thickBot="1">
      <c r="A29" s="24">
        <v>43592</v>
      </c>
      <c r="B29" s="23">
        <v>28.5825</v>
      </c>
      <c r="C29" s="23">
        <v>27.01</v>
      </c>
      <c r="D29" s="23">
        <v>4.4876786000000002E-2</v>
      </c>
      <c r="E29" s="23"/>
      <c r="F29" s="23"/>
      <c r="G29" s="23"/>
      <c r="H29" s="23"/>
      <c r="I29" s="24">
        <v>43592</v>
      </c>
      <c r="J29" s="23">
        <v>6942.5056999999997</v>
      </c>
      <c r="K29" s="23">
        <v>6751.2839999999997</v>
      </c>
      <c r="L29" s="23">
        <v>2.0101186E-2</v>
      </c>
    </row>
    <row r="30" spans="1:22">
      <c r="A30" s="24">
        <v>43806</v>
      </c>
      <c r="B30" s="23">
        <v>30.095700000000001</v>
      </c>
      <c r="C30" s="23">
        <v>28.44</v>
      </c>
      <c r="D30" s="23">
        <v>5.2941485000000003E-2</v>
      </c>
      <c r="E30" s="23"/>
      <c r="F30" s="23"/>
      <c r="G30" s="23"/>
      <c r="H30" s="23"/>
      <c r="I30" s="24">
        <v>43806</v>
      </c>
      <c r="J30" s="23">
        <v>6886.5717999999997</v>
      </c>
      <c r="K30" s="23">
        <v>6696.5469999999996</v>
      </c>
      <c r="L30" s="23">
        <v>-8.0567309999999993E-3</v>
      </c>
      <c r="P30" s="28" t="s">
        <v>123</v>
      </c>
      <c r="Q30" s="28" t="s">
        <v>124</v>
      </c>
      <c r="R30" s="28" t="s">
        <v>125</v>
      </c>
      <c r="S30" s="28" t="s">
        <v>126</v>
      </c>
    </row>
    <row r="31" spans="1:22">
      <c r="A31" s="23" t="s">
        <v>127</v>
      </c>
      <c r="B31" s="23">
        <v>31.005800000000001</v>
      </c>
      <c r="C31" s="23">
        <v>29.3</v>
      </c>
      <c r="D31" s="23">
        <v>3.0240199999999998E-2</v>
      </c>
      <c r="E31" s="23"/>
      <c r="F31" s="23"/>
      <c r="G31" s="23"/>
      <c r="H31" s="23"/>
      <c r="I31" s="23" t="s">
        <v>127</v>
      </c>
      <c r="J31" s="23">
        <v>6890.4795999999997</v>
      </c>
      <c r="K31" s="23">
        <v>6700.3469999999998</v>
      </c>
      <c r="L31" s="23">
        <v>5.6745199999999997E-4</v>
      </c>
      <c r="P31">
        <v>1</v>
      </c>
      <c r="Q31">
        <v>3.4193561262915548E-2</v>
      </c>
      <c r="R31">
        <v>2.2613490737084449E-2</v>
      </c>
      <c r="S31">
        <v>0.629420541208638</v>
      </c>
    </row>
    <row r="32" spans="1:22">
      <c r="A32" s="23" t="s">
        <v>128</v>
      </c>
      <c r="B32" s="23">
        <v>32.116900000000001</v>
      </c>
      <c r="C32" s="23">
        <v>30.35</v>
      </c>
      <c r="D32" s="23">
        <v>3.5835231000000002E-2</v>
      </c>
      <c r="E32" s="23"/>
      <c r="F32" s="23"/>
      <c r="G32" s="23"/>
      <c r="H32" s="23"/>
      <c r="I32" s="23" t="s">
        <v>128</v>
      </c>
      <c r="J32" s="23">
        <v>6986.1607999999997</v>
      </c>
      <c r="K32" s="23">
        <v>6793.3879999999999</v>
      </c>
      <c r="L32" s="23">
        <v>1.3886000000000001E-2</v>
      </c>
      <c r="P32">
        <v>2</v>
      </c>
      <c r="Q32">
        <v>2.4175062619192611E-2</v>
      </c>
      <c r="R32">
        <v>-2.3248278619192611E-2</v>
      </c>
      <c r="S32">
        <v>-0.6470891328009114</v>
      </c>
    </row>
    <row r="33" spans="1:26">
      <c r="A33" s="24">
        <v>43504</v>
      </c>
      <c r="B33" s="23">
        <v>30.942299999999999</v>
      </c>
      <c r="C33" s="23">
        <v>29.24</v>
      </c>
      <c r="D33" s="23">
        <v>-3.6572646E-2</v>
      </c>
      <c r="E33" s="23"/>
      <c r="F33" s="23"/>
      <c r="G33" s="23"/>
      <c r="H33" s="23"/>
      <c r="I33" s="24">
        <v>43504</v>
      </c>
      <c r="J33" s="23">
        <v>6960.6396000000004</v>
      </c>
      <c r="K33" s="23">
        <v>6768.5709999999999</v>
      </c>
      <c r="L33" s="23">
        <v>-3.653108E-3</v>
      </c>
      <c r="P33">
        <v>3</v>
      </c>
      <c r="Q33">
        <v>9.5001887858021938E-3</v>
      </c>
      <c r="R33">
        <v>5.5314626214197804E-2</v>
      </c>
      <c r="S33">
        <v>1.539619087264487</v>
      </c>
    </row>
    <row r="34" spans="1:26">
      <c r="A34" s="24">
        <v>43716</v>
      </c>
      <c r="B34" s="23">
        <v>29.587800000000001</v>
      </c>
      <c r="C34" s="23">
        <v>27.96</v>
      </c>
      <c r="D34" s="23">
        <v>-4.3775026000000002E-2</v>
      </c>
      <c r="E34" s="23"/>
      <c r="F34" s="23"/>
      <c r="G34" s="23"/>
      <c r="H34" s="23"/>
      <c r="I34" s="24">
        <v>43716</v>
      </c>
      <c r="J34" s="23">
        <v>6775.9093000000003</v>
      </c>
      <c r="K34" s="23">
        <v>6584.4340000000002</v>
      </c>
      <c r="L34" s="23">
        <v>-2.6539271E-2</v>
      </c>
      <c r="P34">
        <v>4</v>
      </c>
      <c r="Q34">
        <v>-2.9177771089012846E-3</v>
      </c>
      <c r="R34">
        <v>-8.8213528910987167E-3</v>
      </c>
      <c r="S34">
        <v>-0.24553222567280644</v>
      </c>
    </row>
    <row r="35" spans="1:26">
      <c r="A35" s="23" t="s">
        <v>129</v>
      </c>
      <c r="B35" s="23">
        <v>32.857700000000001</v>
      </c>
      <c r="C35" s="23">
        <v>31.05</v>
      </c>
      <c r="D35" s="23">
        <v>0.110515145</v>
      </c>
      <c r="E35" s="23"/>
      <c r="F35" s="23"/>
      <c r="G35" s="23"/>
      <c r="H35" s="23"/>
      <c r="I35" s="23" t="s">
        <v>129</v>
      </c>
      <c r="J35" s="23">
        <v>6620.2340000000004</v>
      </c>
      <c r="K35" s="23">
        <v>6405.5280000000002</v>
      </c>
      <c r="L35" s="23">
        <v>-2.2974820999999999E-2</v>
      </c>
      <c r="P35">
        <v>5</v>
      </c>
      <c r="Q35">
        <v>4.2685047727938234E-2</v>
      </c>
      <c r="R35">
        <v>-4.9284255727938237E-2</v>
      </c>
      <c r="S35">
        <v>-1.37177065115703</v>
      </c>
    </row>
    <row r="36" spans="1:26">
      <c r="A36" s="23" t="s">
        <v>130</v>
      </c>
      <c r="B36" s="23">
        <v>34.213799999999999</v>
      </c>
      <c r="C36" s="23">
        <v>31.61</v>
      </c>
      <c r="D36" s="23">
        <v>4.1271909000000002E-2</v>
      </c>
      <c r="E36" s="23"/>
      <c r="F36" s="23"/>
      <c r="G36" s="23"/>
      <c r="H36" s="23"/>
      <c r="I36" s="23" t="s">
        <v>130</v>
      </c>
      <c r="J36" s="23">
        <v>6752.8845000000001</v>
      </c>
      <c r="K36" s="23">
        <v>6523.1310000000003</v>
      </c>
      <c r="L36" s="23">
        <v>2.0037131999999999E-2</v>
      </c>
      <c r="P36">
        <v>6</v>
      </c>
      <c r="Q36">
        <v>7.9220684704526048E-3</v>
      </c>
      <c r="R36">
        <v>1.5550030529547395E-2</v>
      </c>
      <c r="S36">
        <v>0.43281723929812282</v>
      </c>
    </row>
    <row r="37" spans="1:26">
      <c r="A37" s="23" t="s">
        <v>131</v>
      </c>
      <c r="B37" s="23">
        <v>35.61</v>
      </c>
      <c r="C37" s="23">
        <v>32.9</v>
      </c>
      <c r="D37" s="23">
        <v>4.0808095000000003E-2</v>
      </c>
      <c r="E37" s="23"/>
      <c r="F37" s="23"/>
      <c r="G37" s="23"/>
      <c r="H37" s="23"/>
      <c r="I37" s="23" t="s">
        <v>131</v>
      </c>
      <c r="J37" s="23">
        <v>6857.0877</v>
      </c>
      <c r="K37" s="23">
        <v>6604.2150000000001</v>
      </c>
      <c r="L37" s="23">
        <v>1.5430917000000001E-2</v>
      </c>
      <c r="P37">
        <v>7</v>
      </c>
      <c r="Q37">
        <v>2.5133407503142059E-2</v>
      </c>
      <c r="R37">
        <v>2.8631304968579421E-3</v>
      </c>
      <c r="S37">
        <v>7.9691948838661625E-2</v>
      </c>
    </row>
    <row r="38" spans="1:26">
      <c r="A38" s="24">
        <v>43625</v>
      </c>
      <c r="B38" s="23">
        <v>35.869799999999998</v>
      </c>
      <c r="C38" s="23">
        <v>33.14</v>
      </c>
      <c r="D38" s="23">
        <v>7.2957029999999997E-3</v>
      </c>
      <c r="E38" s="23"/>
      <c r="F38" s="23"/>
      <c r="G38" s="23"/>
      <c r="H38" s="23"/>
      <c r="I38" s="24">
        <v>43625</v>
      </c>
      <c r="J38" s="23">
        <v>6938.7699000000002</v>
      </c>
      <c r="K38" s="23">
        <v>6647.3289999999997</v>
      </c>
      <c r="L38" s="23">
        <v>1.1912083E-2</v>
      </c>
      <c r="P38">
        <v>8</v>
      </c>
      <c r="Q38">
        <v>1.3987385686783062E-2</v>
      </c>
      <c r="R38">
        <v>-2.3340418686783063E-2</v>
      </c>
      <c r="S38">
        <v>-0.64965374575182899</v>
      </c>
    </row>
    <row r="39" spans="1:26">
      <c r="A39" s="23" t="s">
        <v>132</v>
      </c>
      <c r="B39" s="23">
        <v>37.060400000000001</v>
      </c>
      <c r="C39" s="23">
        <v>34.24</v>
      </c>
      <c r="D39" s="23">
        <v>3.3192267999999997E-2</v>
      </c>
      <c r="E39" s="23"/>
      <c r="F39" s="23"/>
      <c r="G39" s="23"/>
      <c r="H39" s="23"/>
      <c r="I39" s="23" t="s">
        <v>132</v>
      </c>
      <c r="J39" s="23">
        <v>6971.9694</v>
      </c>
      <c r="K39" s="23">
        <v>6669.1779999999999</v>
      </c>
      <c r="L39" s="23">
        <v>4.7846379999999999E-3</v>
      </c>
      <c r="P39">
        <v>9</v>
      </c>
      <c r="Q39">
        <v>1.2304103970073732E-2</v>
      </c>
      <c r="R39">
        <v>6.3235098029926273E-2</v>
      </c>
      <c r="S39">
        <v>1.7600763229405361</v>
      </c>
      <c r="Z39" t="s">
        <v>133</v>
      </c>
    </row>
    <row r="40" spans="1:26">
      <c r="A40" s="23" t="s">
        <v>134</v>
      </c>
      <c r="B40" s="23">
        <v>37.731499999999997</v>
      </c>
      <c r="C40" s="23">
        <v>34.86</v>
      </c>
      <c r="D40" s="23">
        <v>1.8108276999999999E-2</v>
      </c>
      <c r="E40" s="23"/>
      <c r="F40" s="23"/>
      <c r="G40" s="23"/>
      <c r="H40" s="23"/>
      <c r="I40" s="23" t="s">
        <v>134</v>
      </c>
      <c r="J40" s="23">
        <v>7038.6004000000003</v>
      </c>
      <c r="K40" s="23">
        <v>6730.7520000000004</v>
      </c>
      <c r="L40" s="23">
        <v>9.5569839999999993E-3</v>
      </c>
      <c r="P40">
        <v>10</v>
      </c>
      <c r="Q40">
        <v>5.4738265544679657E-4</v>
      </c>
      <c r="R40">
        <v>6.9745633445532033E-3</v>
      </c>
      <c r="S40">
        <v>0.19412895983473438</v>
      </c>
    </row>
    <row r="41" spans="1:26">
      <c r="A41" s="23" t="s">
        <v>135</v>
      </c>
      <c r="B41" s="23">
        <v>37.341799999999999</v>
      </c>
      <c r="C41" s="23">
        <v>34.5</v>
      </c>
      <c r="D41" s="23">
        <v>-1.0328240000000001E-2</v>
      </c>
      <c r="E41" s="23"/>
      <c r="F41" s="23"/>
      <c r="G41" s="23"/>
      <c r="H41" s="23"/>
      <c r="I41" s="23" t="s">
        <v>135</v>
      </c>
      <c r="J41" s="23">
        <v>7024.9462999999996</v>
      </c>
      <c r="K41" s="23">
        <v>6716.1170000000002</v>
      </c>
      <c r="L41" s="23">
        <v>-1.939889E-3</v>
      </c>
      <c r="P41">
        <v>11</v>
      </c>
      <c r="Q41">
        <v>8.5259527699583226E-3</v>
      </c>
      <c r="R41">
        <v>-1.1011934769958322E-2</v>
      </c>
      <c r="S41">
        <v>-0.30650455620700934</v>
      </c>
    </row>
    <row r="42" spans="1:26">
      <c r="A42" s="24">
        <v>43565</v>
      </c>
      <c r="B42" s="23">
        <v>37.060400000000001</v>
      </c>
      <c r="C42" s="23">
        <v>34.24</v>
      </c>
      <c r="D42" s="23">
        <v>-7.535791E-3</v>
      </c>
      <c r="E42" s="23"/>
      <c r="F42" s="23"/>
      <c r="G42" s="23"/>
      <c r="H42" s="23"/>
      <c r="I42" s="24">
        <v>43565</v>
      </c>
      <c r="J42" s="23">
        <v>6817.0149000000001</v>
      </c>
      <c r="K42" s="23">
        <v>6517.08</v>
      </c>
      <c r="L42" s="23">
        <v>-2.9599001999999999E-2</v>
      </c>
      <c r="P42">
        <v>12</v>
      </c>
      <c r="Q42">
        <v>2.6837734419474114E-3</v>
      </c>
      <c r="R42">
        <v>3.5166664558052591E-2</v>
      </c>
      <c r="S42">
        <v>0.97882371616041353</v>
      </c>
    </row>
    <row r="43" spans="1:26">
      <c r="A43" s="24">
        <v>43779</v>
      </c>
      <c r="B43" s="23">
        <v>37.634099999999997</v>
      </c>
      <c r="C43" s="23">
        <v>34.770000000000003</v>
      </c>
      <c r="D43" s="23">
        <v>1.5480135000000001E-2</v>
      </c>
      <c r="E43" s="23"/>
      <c r="F43" s="23"/>
      <c r="G43" s="23"/>
      <c r="H43" s="23"/>
      <c r="I43" s="24">
        <v>43779</v>
      </c>
      <c r="J43" s="23">
        <v>6911.7995000000001</v>
      </c>
      <c r="K43" s="23">
        <v>6606.8069999999998</v>
      </c>
      <c r="L43" s="23">
        <v>1.3904121E-2</v>
      </c>
      <c r="P43">
        <v>13</v>
      </c>
      <c r="Q43">
        <v>5.0239645357724027E-3</v>
      </c>
      <c r="R43">
        <v>-2.3060135535772401E-2</v>
      </c>
      <c r="S43">
        <v>-0.64185238617174956</v>
      </c>
    </row>
    <row r="44" spans="1:26">
      <c r="A44" s="23" t="s">
        <v>136</v>
      </c>
      <c r="B44" s="23">
        <v>36.605800000000002</v>
      </c>
      <c r="C44" s="23">
        <v>33.82</v>
      </c>
      <c r="D44" s="23">
        <v>-2.7323624000000001E-2</v>
      </c>
      <c r="E44" s="23"/>
      <c r="F44" s="23"/>
      <c r="G44" s="23"/>
      <c r="H44" s="23"/>
      <c r="I44" s="23" t="s">
        <v>136</v>
      </c>
      <c r="J44" s="23">
        <v>6956.6941999999999</v>
      </c>
      <c r="K44" s="23">
        <v>6649.6840000000002</v>
      </c>
      <c r="L44" s="23">
        <v>6.4953709999999998E-3</v>
      </c>
      <c r="P44">
        <v>14</v>
      </c>
      <c r="Q44">
        <v>1.6869581459554757E-2</v>
      </c>
      <c r="R44">
        <v>6.8052195404452419E-3</v>
      </c>
      <c r="S44">
        <v>0.18941546955270705</v>
      </c>
    </row>
    <row r="45" spans="1:26">
      <c r="A45" s="23" t="s">
        <v>137</v>
      </c>
      <c r="B45" s="23">
        <v>40.253399999999999</v>
      </c>
      <c r="C45" s="23">
        <v>37.19</v>
      </c>
      <c r="D45" s="23">
        <v>9.9645411000000003E-2</v>
      </c>
      <c r="E45" s="23"/>
      <c r="F45" s="23"/>
      <c r="G45" s="23"/>
      <c r="H45" s="23"/>
      <c r="I45" s="23" t="s">
        <v>137</v>
      </c>
      <c r="J45" s="23">
        <v>7050.7295000000004</v>
      </c>
      <c r="K45" s="23">
        <v>6739.2209999999995</v>
      </c>
      <c r="L45" s="23">
        <v>1.3517239E-2</v>
      </c>
      <c r="P45">
        <v>15</v>
      </c>
      <c r="Q45">
        <v>6.2930177692257106E-3</v>
      </c>
      <c r="R45">
        <v>1.7229878230774293E-2</v>
      </c>
      <c r="S45">
        <v>0.47957387061822132</v>
      </c>
    </row>
    <row r="46" spans="1:26">
      <c r="A46" s="24">
        <v>43476</v>
      </c>
      <c r="B46" s="23">
        <v>39.647300000000001</v>
      </c>
      <c r="C46" s="23">
        <v>36.630000000000003</v>
      </c>
      <c r="D46" s="23">
        <v>-1.5057113E-2</v>
      </c>
      <c r="E46" s="23"/>
      <c r="F46" s="23"/>
      <c r="G46" s="23"/>
      <c r="H46" s="23"/>
      <c r="I46" s="24">
        <v>43476</v>
      </c>
      <c r="J46" s="23">
        <v>6977.6279000000004</v>
      </c>
      <c r="K46" s="23">
        <v>6669.0950000000003</v>
      </c>
      <c r="L46" s="23">
        <v>-1.0367948E-2</v>
      </c>
      <c r="P46">
        <v>16</v>
      </c>
      <c r="Q46">
        <v>2.6313175565867722E-2</v>
      </c>
      <c r="R46">
        <v>-2.9037329565867721E-2</v>
      </c>
      <c r="S46">
        <v>-0.80822071669941808</v>
      </c>
    </row>
    <row r="47" spans="1:26">
      <c r="A47" s="24">
        <v>43688</v>
      </c>
      <c r="B47" s="23">
        <v>39.603999999999999</v>
      </c>
      <c r="C47" s="23">
        <v>36.590000000000003</v>
      </c>
      <c r="D47" s="23">
        <v>-1.09213E-3</v>
      </c>
      <c r="E47" s="23"/>
      <c r="F47" s="23"/>
      <c r="G47" s="23"/>
      <c r="H47" s="23"/>
      <c r="I47" s="24">
        <v>43688</v>
      </c>
      <c r="J47" s="23">
        <v>7036.4749000000002</v>
      </c>
      <c r="K47" s="23">
        <v>6724.1109999999999</v>
      </c>
      <c r="L47" s="23">
        <v>8.4336680000000001E-3</v>
      </c>
      <c r="P47">
        <v>17</v>
      </c>
      <c r="Q47">
        <v>-3.3833830159043839E-3</v>
      </c>
      <c r="R47">
        <v>-6.3839149840956167E-3</v>
      </c>
      <c r="S47">
        <v>-0.17768894112972572</v>
      </c>
    </row>
    <row r="48" spans="1:26">
      <c r="A48" s="23" t="s">
        <v>138</v>
      </c>
      <c r="B48" s="23">
        <v>39.625599999999999</v>
      </c>
      <c r="C48" s="23">
        <v>36.61</v>
      </c>
      <c r="D48" s="23">
        <v>5.4539900000000001E-4</v>
      </c>
      <c r="E48" s="23"/>
      <c r="F48" s="23"/>
      <c r="G48" s="23"/>
      <c r="H48" s="23"/>
      <c r="I48" s="23" t="s">
        <v>138</v>
      </c>
      <c r="J48" s="23">
        <v>7155.1139000000003</v>
      </c>
      <c r="K48" s="23">
        <v>6793.7209999999995</v>
      </c>
      <c r="L48" s="23">
        <v>1.6860573E-2</v>
      </c>
      <c r="P48">
        <v>18</v>
      </c>
      <c r="Q48">
        <v>6.3458910008001423E-4</v>
      </c>
      <c r="R48">
        <v>2.9179608999199856E-3</v>
      </c>
      <c r="S48">
        <v>8.121809013065609E-2</v>
      </c>
    </row>
    <row r="49" spans="1:19">
      <c r="A49" s="23" t="s">
        <v>139</v>
      </c>
      <c r="B49" s="23">
        <v>39.398299999999999</v>
      </c>
      <c r="C49" s="23">
        <v>36.4</v>
      </c>
      <c r="D49" s="23">
        <v>-5.7361909999999999E-3</v>
      </c>
      <c r="E49" s="23"/>
      <c r="F49" s="23"/>
      <c r="G49" s="23"/>
      <c r="H49" s="23"/>
      <c r="I49" s="23" t="s">
        <v>139</v>
      </c>
      <c r="J49" s="23">
        <v>7067.1990999999998</v>
      </c>
      <c r="K49" s="23">
        <v>6709.777</v>
      </c>
      <c r="L49" s="23">
        <v>-1.2286988E-2</v>
      </c>
      <c r="P49">
        <v>19</v>
      </c>
      <c r="Q49">
        <v>2.2026993500532208E-2</v>
      </c>
      <c r="R49">
        <v>-1.6525732500532207E-2</v>
      </c>
      <c r="S49">
        <v>-0.45997478298634575</v>
      </c>
    </row>
    <row r="50" spans="1:19">
      <c r="A50" s="23" t="s">
        <v>140</v>
      </c>
      <c r="B50" s="23">
        <v>40.491500000000002</v>
      </c>
      <c r="C50" s="23">
        <v>37.409999999999997</v>
      </c>
      <c r="D50" s="23">
        <v>2.774739E-2</v>
      </c>
      <c r="E50" s="23"/>
      <c r="F50" s="23"/>
      <c r="G50" s="23"/>
      <c r="H50" s="23"/>
      <c r="I50" s="23" t="s">
        <v>140</v>
      </c>
      <c r="J50" s="23">
        <v>7213.2326000000003</v>
      </c>
      <c r="K50" s="23">
        <v>6845.9960000000001</v>
      </c>
      <c r="L50" s="23">
        <v>2.0663561E-2</v>
      </c>
      <c r="P50">
        <v>20</v>
      </c>
      <c r="Q50">
        <v>2.006029509626844E-2</v>
      </c>
      <c r="R50">
        <v>6.7116274903731551E-2</v>
      </c>
      <c r="S50">
        <v>1.8681044233713469</v>
      </c>
    </row>
    <row r="51" spans="1:19">
      <c r="A51" s="24">
        <v>43628</v>
      </c>
      <c r="B51" s="23">
        <v>41.216700000000003</v>
      </c>
      <c r="C51" s="23">
        <v>38.08</v>
      </c>
      <c r="D51" s="23">
        <v>1.7909932E-2</v>
      </c>
      <c r="E51" s="23"/>
      <c r="F51" s="23"/>
      <c r="G51" s="23"/>
      <c r="H51" s="23"/>
      <c r="I51" s="24">
        <v>43628</v>
      </c>
      <c r="J51" s="23">
        <v>7067.1992</v>
      </c>
      <c r="K51" s="23">
        <v>6707.0159999999996</v>
      </c>
      <c r="L51" s="23">
        <v>-2.0245209E-2</v>
      </c>
      <c r="P51">
        <v>21</v>
      </c>
      <c r="Q51">
        <v>-4.6981341634069352E-3</v>
      </c>
      <c r="R51">
        <v>1.5847001163406933E-2</v>
      </c>
      <c r="S51">
        <v>0.44108307579635125</v>
      </c>
    </row>
    <row r="52" spans="1:19">
      <c r="A52" s="23" t="s">
        <v>141</v>
      </c>
      <c r="B52" s="23">
        <v>40.567300000000003</v>
      </c>
      <c r="C52" s="23">
        <v>37.479999999999997</v>
      </c>
      <c r="D52" s="23">
        <v>-1.5755748999999999E-2</v>
      </c>
      <c r="E52" s="23"/>
      <c r="F52" s="23"/>
      <c r="G52" s="23"/>
      <c r="H52" s="23"/>
      <c r="I52" s="23" t="s">
        <v>141</v>
      </c>
      <c r="J52" s="23">
        <v>7101.6142</v>
      </c>
      <c r="K52" s="23">
        <v>6739.6769999999997</v>
      </c>
      <c r="L52" s="23">
        <v>4.8696800000000004E-3</v>
      </c>
      <c r="P52">
        <v>22</v>
      </c>
      <c r="Q52">
        <v>1.2778797518343717E-2</v>
      </c>
      <c r="R52">
        <v>-2.7003974518343715E-2</v>
      </c>
      <c r="S52">
        <v>-0.75162461442746586</v>
      </c>
    </row>
    <row r="53" spans="1:19">
      <c r="A53" s="23" t="s">
        <v>142</v>
      </c>
      <c r="B53" s="23">
        <v>42.851100000000002</v>
      </c>
      <c r="C53" s="23">
        <v>39.590000000000003</v>
      </c>
      <c r="D53" s="23">
        <v>5.6296574000000002E-2</v>
      </c>
      <c r="E53" s="23"/>
      <c r="F53" s="23"/>
      <c r="G53" s="23"/>
      <c r="H53" s="23"/>
      <c r="I53" s="23" t="s">
        <v>142</v>
      </c>
      <c r="J53" s="23">
        <v>7182.6801999999998</v>
      </c>
      <c r="K53" s="23">
        <v>6816.3209999999999</v>
      </c>
      <c r="L53" s="23">
        <v>1.1415151E-2</v>
      </c>
      <c r="P53">
        <v>23</v>
      </c>
      <c r="Q53">
        <v>2.3068737556590668E-2</v>
      </c>
      <c r="R53">
        <v>-6.4195355556590672E-2</v>
      </c>
      <c r="S53">
        <v>-1.7868039882603177</v>
      </c>
    </row>
    <row r="54" spans="1:19">
      <c r="A54" s="23" t="s">
        <v>143</v>
      </c>
      <c r="B54" s="23">
        <v>42.721200000000003</v>
      </c>
      <c r="C54" s="23">
        <v>39.47</v>
      </c>
      <c r="D54" s="23">
        <v>-3.0314270000000002E-3</v>
      </c>
      <c r="E54" s="23"/>
      <c r="F54" s="23"/>
      <c r="G54" s="23"/>
      <c r="H54" s="23"/>
      <c r="I54" s="23" t="s">
        <v>143</v>
      </c>
      <c r="J54" s="23">
        <v>7188.2987999999996</v>
      </c>
      <c r="K54" s="23">
        <v>6821.6530000000002</v>
      </c>
      <c r="L54" s="23">
        <v>7.8224299999999996E-4</v>
      </c>
      <c r="P54">
        <v>24</v>
      </c>
      <c r="Q54">
        <v>2.0559540602971695E-2</v>
      </c>
      <c r="R54">
        <v>-4.4262406602971691E-2</v>
      </c>
      <c r="S54">
        <v>-1.2319932487712497</v>
      </c>
    </row>
    <row r="55" spans="1:19">
      <c r="A55" s="24">
        <v>43891</v>
      </c>
      <c r="B55" s="23">
        <v>41.487299999999998</v>
      </c>
      <c r="C55" s="23">
        <v>38.33</v>
      </c>
      <c r="D55" s="23">
        <v>-2.8882616E-2</v>
      </c>
      <c r="E55" s="23"/>
      <c r="F55" s="23"/>
      <c r="G55" s="23"/>
      <c r="H55" s="23"/>
      <c r="I55" s="24">
        <v>43891</v>
      </c>
      <c r="J55" s="23">
        <v>7109.6022000000003</v>
      </c>
      <c r="K55" s="23">
        <v>6733.5</v>
      </c>
      <c r="L55" s="23">
        <v>-1.0947874999999999E-2</v>
      </c>
      <c r="P55">
        <v>25</v>
      </c>
      <c r="Q55">
        <v>1.8410006198439359E-3</v>
      </c>
      <c r="R55">
        <v>-5.6937796198439361E-3</v>
      </c>
      <c r="S55">
        <v>-0.15847981594313285</v>
      </c>
    </row>
    <row r="56" spans="1:19">
      <c r="A56" s="24">
        <v>44105</v>
      </c>
      <c r="B56" s="23">
        <v>44.3123</v>
      </c>
      <c r="C56" s="23">
        <v>40.94</v>
      </c>
      <c r="D56" s="23">
        <v>6.8093127000000003E-2</v>
      </c>
      <c r="E56" s="23"/>
      <c r="F56" s="23"/>
      <c r="G56" s="23"/>
      <c r="H56" s="23"/>
      <c r="I56" s="24">
        <v>44105</v>
      </c>
      <c r="J56" s="23">
        <v>7316.0505000000003</v>
      </c>
      <c r="K56" s="23">
        <v>6929.027</v>
      </c>
      <c r="L56" s="23">
        <v>2.9037954000000001E-2</v>
      </c>
      <c r="P56">
        <v>26</v>
      </c>
      <c r="Q56">
        <v>2.6186660655595322E-2</v>
      </c>
      <c r="R56">
        <v>1.869012534440468E-2</v>
      </c>
      <c r="S56">
        <v>0.52021817181194718</v>
      </c>
    </row>
    <row r="57" spans="1:19">
      <c r="A57" s="23" t="s">
        <v>144</v>
      </c>
      <c r="B57" s="23">
        <v>44.377200000000002</v>
      </c>
      <c r="C57" s="23">
        <v>41</v>
      </c>
      <c r="D57" s="23">
        <v>1.4646049999999999E-3</v>
      </c>
      <c r="E57" s="23"/>
      <c r="F57" s="23"/>
      <c r="G57" s="23"/>
      <c r="H57" s="23"/>
      <c r="I57" s="23" t="s">
        <v>144</v>
      </c>
      <c r="J57" s="23">
        <v>7458.6997000000001</v>
      </c>
      <c r="K57" s="23">
        <v>7064.13</v>
      </c>
      <c r="L57" s="23">
        <v>1.9498115999999999E-2</v>
      </c>
      <c r="P57">
        <v>27</v>
      </c>
      <c r="Q57">
        <v>-3.7839470416077877E-3</v>
      </c>
      <c r="R57">
        <v>5.6725432041607793E-2</v>
      </c>
      <c r="S57">
        <v>1.5788872470436608</v>
      </c>
    </row>
    <row r="58" spans="1:19">
      <c r="A58" s="23" t="s">
        <v>145</v>
      </c>
      <c r="B58" s="23">
        <v>44.387999999999998</v>
      </c>
      <c r="C58" s="23">
        <v>41.01</v>
      </c>
      <c r="D58" s="23">
        <v>2.4336799999999999E-4</v>
      </c>
      <c r="E58" s="23"/>
      <c r="F58" s="23"/>
      <c r="G58" s="23"/>
      <c r="H58" s="23"/>
      <c r="I58" s="23" t="s">
        <v>145</v>
      </c>
      <c r="J58" s="23">
        <v>7486.5879999999997</v>
      </c>
      <c r="K58" s="23">
        <v>7090.5429999999997</v>
      </c>
      <c r="L58" s="23">
        <v>3.73903E-3</v>
      </c>
      <c r="P58">
        <v>28</v>
      </c>
      <c r="Q58">
        <v>5.3954253317779347E-3</v>
      </c>
      <c r="R58">
        <v>2.4844774668222065E-2</v>
      </c>
      <c r="S58">
        <v>0.6915257666183372</v>
      </c>
    </row>
    <row r="59" spans="1:19">
      <c r="A59" s="23" t="s">
        <v>146</v>
      </c>
      <c r="B59" s="23">
        <v>42.9268</v>
      </c>
      <c r="C59" s="23">
        <v>39.659999999999997</v>
      </c>
      <c r="D59" s="23">
        <v>-3.2918807000000001E-2</v>
      </c>
      <c r="E59" s="23"/>
      <c r="F59" s="23"/>
      <c r="G59" s="23"/>
      <c r="H59" s="23"/>
      <c r="I59" s="23" t="s">
        <v>146</v>
      </c>
      <c r="J59" s="23">
        <v>7409.1715999999997</v>
      </c>
      <c r="K59" s="23">
        <v>7017.2219999999998</v>
      </c>
      <c r="L59" s="23">
        <v>-1.0340679E-2</v>
      </c>
      <c r="P59">
        <v>29</v>
      </c>
      <c r="Q59">
        <v>1.9571366584973937E-2</v>
      </c>
      <c r="R59">
        <v>1.6263864415026065E-2</v>
      </c>
      <c r="S59">
        <v>0.45268598560336387</v>
      </c>
    </row>
    <row r="60" spans="1:19">
      <c r="A60" s="24">
        <v>44014</v>
      </c>
      <c r="B60" s="23">
        <v>43.403100000000002</v>
      </c>
      <c r="C60" s="23">
        <v>40.1</v>
      </c>
      <c r="D60" s="23">
        <v>1.1095633000000001E-2</v>
      </c>
      <c r="E60" s="23"/>
      <c r="F60" s="23"/>
      <c r="G60" s="23"/>
      <c r="H60" s="23"/>
      <c r="I60" s="24">
        <v>44014</v>
      </c>
      <c r="J60" s="23">
        <v>7414.8289000000004</v>
      </c>
      <c r="K60" s="23">
        <v>7022.58</v>
      </c>
      <c r="L60" s="23">
        <v>7.6355399999999995E-4</v>
      </c>
      <c r="P60">
        <v>30</v>
      </c>
      <c r="Q60">
        <v>9.0316306598222382E-4</v>
      </c>
      <c r="R60">
        <v>-3.7475809065982225E-2</v>
      </c>
      <c r="S60">
        <v>-1.0430961012958282</v>
      </c>
    </row>
    <row r="61" spans="1:19">
      <c r="A61" s="23" t="s">
        <v>147</v>
      </c>
      <c r="B61" s="23">
        <v>44.972499999999997</v>
      </c>
      <c r="C61" s="23">
        <v>41.55</v>
      </c>
      <c r="D61" s="23">
        <v>3.6158707999999998E-2</v>
      </c>
      <c r="E61" s="23"/>
      <c r="F61" s="23"/>
      <c r="G61" s="23"/>
      <c r="H61" s="23"/>
      <c r="I61" s="23" t="s">
        <v>147</v>
      </c>
      <c r="J61" s="23">
        <v>7531.1665999999996</v>
      </c>
      <c r="K61" s="23">
        <v>7130.2039999999997</v>
      </c>
      <c r="L61" s="23">
        <v>1.5689870000000002E-2</v>
      </c>
      <c r="P61">
        <v>31</v>
      </c>
      <c r="Q61">
        <v>-2.3456316826200321E-2</v>
      </c>
      <c r="R61">
        <v>-2.031870917379968E-2</v>
      </c>
      <c r="S61">
        <v>-0.56554793214038723</v>
      </c>
    </row>
    <row r="62" spans="1:19">
      <c r="A62" s="23" t="s">
        <v>148</v>
      </c>
      <c r="B62" s="23">
        <v>45.098199999999999</v>
      </c>
      <c r="C62" s="23">
        <v>40.229999999999997</v>
      </c>
      <c r="D62" s="23">
        <v>2.7950409999999998E-3</v>
      </c>
      <c r="E62" s="23"/>
      <c r="F62" s="23"/>
      <c r="G62" s="23"/>
      <c r="H62" s="23"/>
      <c r="I62" s="23" t="s">
        <v>148</v>
      </c>
      <c r="J62" s="23">
        <v>7566.1517000000003</v>
      </c>
      <c r="K62" s="23">
        <v>7138.9620000000004</v>
      </c>
      <c r="L62" s="23">
        <v>4.6453759999999997E-3</v>
      </c>
      <c r="P62">
        <v>32</v>
      </c>
      <c r="Q62">
        <v>-1.9662402219296132E-2</v>
      </c>
      <c r="R62">
        <v>0.13017754721929614</v>
      </c>
      <c r="S62">
        <v>3.6233425072057868</v>
      </c>
    </row>
    <row r="63" spans="1:19">
      <c r="A63" s="23" t="s">
        <v>149</v>
      </c>
      <c r="B63" s="23">
        <v>41.241900000000001</v>
      </c>
      <c r="C63" s="23">
        <v>36.79</v>
      </c>
      <c r="D63" s="23">
        <v>-8.5508955999999997E-2</v>
      </c>
      <c r="E63" s="23"/>
      <c r="F63" s="23"/>
      <c r="G63" s="23"/>
      <c r="H63" s="23"/>
      <c r="I63" s="23" t="s">
        <v>149</v>
      </c>
      <c r="J63" s="23">
        <v>6851.5187999999998</v>
      </c>
      <c r="K63" s="23">
        <v>6441.21</v>
      </c>
      <c r="L63" s="23">
        <v>-9.4451304999999999E-2</v>
      </c>
      <c r="P63">
        <v>33</v>
      </c>
      <c r="Q63">
        <v>2.6118483122951952E-2</v>
      </c>
      <c r="R63">
        <v>1.515342587704805E-2</v>
      </c>
      <c r="S63">
        <v>0.42177820432893853</v>
      </c>
    </row>
    <row r="64" spans="1:19">
      <c r="A64" s="24">
        <v>43985</v>
      </c>
      <c r="B64" s="23">
        <v>38.405700000000003</v>
      </c>
      <c r="C64" s="23">
        <v>34.26</v>
      </c>
      <c r="D64" s="23">
        <v>-6.8769867999999998E-2</v>
      </c>
      <c r="E64" s="23"/>
      <c r="F64" s="23"/>
      <c r="G64" s="23"/>
      <c r="H64" s="23"/>
      <c r="I64" s="24">
        <v>43985</v>
      </c>
      <c r="J64" s="23">
        <v>6658.933</v>
      </c>
      <c r="K64" s="23">
        <v>6216.2110000000002</v>
      </c>
      <c r="L64" s="23">
        <v>-2.8108483E-2</v>
      </c>
      <c r="P64">
        <v>34</v>
      </c>
      <c r="Q64">
        <v>2.1215738976999243E-2</v>
      </c>
      <c r="R64">
        <v>1.9592356023000759E-2</v>
      </c>
      <c r="S64">
        <v>0.5453307264643652</v>
      </c>
    </row>
    <row r="65" spans="1:19">
      <c r="A65" s="23" t="s">
        <v>150</v>
      </c>
      <c r="B65" s="23">
        <v>37.587400000000002</v>
      </c>
      <c r="C65" s="23">
        <v>33.53</v>
      </c>
      <c r="D65" s="23">
        <v>-2.1306733000000001E-2</v>
      </c>
      <c r="E65" s="23"/>
      <c r="F65" s="23"/>
      <c r="G65" s="23"/>
      <c r="H65" s="23"/>
      <c r="I65" s="23" t="s">
        <v>150</v>
      </c>
      <c r="J65" s="23">
        <v>5940.7691999999997</v>
      </c>
      <c r="K65" s="23">
        <v>5539.2960000000003</v>
      </c>
      <c r="L65" s="23">
        <v>-0.107849681</v>
      </c>
      <c r="P65">
        <v>35</v>
      </c>
      <c r="Q65">
        <v>1.7470376940255543E-2</v>
      </c>
      <c r="R65">
        <v>-1.0174673940255542E-2</v>
      </c>
      <c r="S65">
        <v>-0.28320036267530951</v>
      </c>
    </row>
    <row r="66" spans="1:19">
      <c r="A66" s="23" t="s">
        <v>151</v>
      </c>
      <c r="B66" s="23">
        <v>30.917400000000001</v>
      </c>
      <c r="C66" s="23">
        <v>27.58</v>
      </c>
      <c r="D66" s="23">
        <v>-0.17745308300000001</v>
      </c>
      <c r="E66" s="23"/>
      <c r="F66" s="23"/>
      <c r="G66" s="23"/>
      <c r="H66" s="23"/>
      <c r="I66" s="23" t="s">
        <v>151</v>
      </c>
      <c r="J66" s="23">
        <v>5166.6017000000002</v>
      </c>
      <c r="K66" s="23">
        <v>4816.63</v>
      </c>
      <c r="L66" s="23">
        <v>-0.13031435399999999</v>
      </c>
      <c r="P66">
        <v>36</v>
      </c>
      <c r="Q66">
        <v>9.8840963933531645E-3</v>
      </c>
      <c r="R66">
        <v>2.3308171606646833E-2</v>
      </c>
      <c r="S66">
        <v>0.64875618531466672</v>
      </c>
    </row>
    <row r="67" spans="1:19">
      <c r="A67" s="23" t="s">
        <v>152</v>
      </c>
      <c r="B67" s="23">
        <v>27.229299999999999</v>
      </c>
      <c r="C67" s="23">
        <v>24.29</v>
      </c>
      <c r="D67" s="23">
        <v>-0.11928881500000001</v>
      </c>
      <c r="E67" s="23"/>
      <c r="F67" s="23"/>
      <c r="G67" s="23"/>
      <c r="H67" s="23"/>
      <c r="I67" s="23" t="s">
        <v>152</v>
      </c>
      <c r="J67" s="23">
        <v>5196.1769999999997</v>
      </c>
      <c r="K67" s="23">
        <v>4842.4279999999999</v>
      </c>
      <c r="L67" s="23">
        <v>5.7243240000000003E-3</v>
      </c>
      <c r="P67">
        <v>37</v>
      </c>
      <c r="Q67">
        <v>1.4963666368693188E-2</v>
      </c>
      <c r="R67">
        <v>3.1446106313068115E-3</v>
      </c>
      <c r="S67">
        <v>8.7526625077909495E-2</v>
      </c>
    </row>
    <row r="68" spans="1:19">
      <c r="A68" s="24">
        <v>43894</v>
      </c>
      <c r="B68" s="23">
        <v>32.643799999999999</v>
      </c>
      <c r="C68" s="23">
        <v>29.12</v>
      </c>
      <c r="D68" s="23">
        <v>0.19884829900000001</v>
      </c>
      <c r="E68" s="23"/>
      <c r="F68" s="23"/>
      <c r="G68" s="23"/>
      <c r="H68" s="23"/>
      <c r="I68" s="24">
        <v>43894</v>
      </c>
      <c r="J68" s="23">
        <v>5438.0352000000003</v>
      </c>
      <c r="K68" s="23">
        <v>5067.482</v>
      </c>
      <c r="L68" s="23">
        <v>4.6545412000000001E-2</v>
      </c>
      <c r="P68">
        <v>38</v>
      </c>
      <c r="Q68">
        <v>2.726672047431193E-3</v>
      </c>
      <c r="R68">
        <v>-1.3054912047431193E-2</v>
      </c>
      <c r="S68">
        <v>-0.36336848219766393</v>
      </c>
    </row>
    <row r="69" spans="1:19">
      <c r="A69" s="24">
        <v>44108</v>
      </c>
      <c r="B69" s="23">
        <v>38.002200000000002</v>
      </c>
      <c r="C69" s="23">
        <v>33.9</v>
      </c>
      <c r="D69" s="23">
        <v>0.164147556</v>
      </c>
      <c r="E69" s="23"/>
      <c r="F69" s="23"/>
      <c r="G69" s="23"/>
      <c r="H69" s="23"/>
      <c r="I69" s="24">
        <v>44108</v>
      </c>
      <c r="J69" s="23">
        <v>5781.5069999999996</v>
      </c>
      <c r="K69" s="23">
        <v>5387.3149999999996</v>
      </c>
      <c r="L69" s="23">
        <v>6.3161011000000003E-2</v>
      </c>
      <c r="P69">
        <v>39</v>
      </c>
      <c r="Q69">
        <v>-2.6713020703123133E-2</v>
      </c>
      <c r="R69">
        <v>1.9177229703123133E-2</v>
      </c>
      <c r="S69">
        <v>0.53377616215736812</v>
      </c>
    </row>
    <row r="70" spans="1:19">
      <c r="A70" s="23" t="s">
        <v>153</v>
      </c>
      <c r="B70" s="23">
        <v>37.0717</v>
      </c>
      <c r="C70" s="23">
        <v>33.07</v>
      </c>
      <c r="D70" s="23">
        <v>-2.4485425000000002E-2</v>
      </c>
      <c r="E70" s="23"/>
      <c r="F70" s="23"/>
      <c r="G70" s="23"/>
      <c r="H70" s="23"/>
      <c r="I70" s="23" t="s">
        <v>153</v>
      </c>
      <c r="J70" s="23">
        <v>5889.0666000000001</v>
      </c>
      <c r="K70" s="23">
        <v>5487.5410000000002</v>
      </c>
      <c r="L70" s="23">
        <v>1.8604077E-2</v>
      </c>
      <c r="P70">
        <v>40</v>
      </c>
      <c r="Q70">
        <v>1.959065414030273E-2</v>
      </c>
      <c r="R70">
        <v>-4.1105191403027295E-3</v>
      </c>
      <c r="S70">
        <v>-0.11441157900026991</v>
      </c>
    </row>
    <row r="71" spans="1:19">
      <c r="A71" s="23" t="s">
        <v>154</v>
      </c>
      <c r="B71" s="23">
        <v>37.800400000000003</v>
      </c>
      <c r="C71" s="23">
        <v>33.72</v>
      </c>
      <c r="D71" s="23">
        <v>1.9656502999999999E-2</v>
      </c>
      <c r="E71" s="23"/>
      <c r="F71" s="23"/>
      <c r="G71" s="23"/>
      <c r="H71" s="23"/>
      <c r="I71" s="23" t="s">
        <v>154</v>
      </c>
      <c r="J71" s="23">
        <v>5626.5330000000004</v>
      </c>
      <c r="K71" s="23">
        <v>5242.6220000000003</v>
      </c>
      <c r="L71" s="23">
        <v>-4.4579832E-2</v>
      </c>
      <c r="P71">
        <v>41</v>
      </c>
      <c r="Q71">
        <v>1.1704959336363448E-2</v>
      </c>
      <c r="R71">
        <v>-3.902858333636345E-2</v>
      </c>
      <c r="S71">
        <v>-1.0863157896226472</v>
      </c>
    </row>
    <row r="72" spans="1:19">
      <c r="A72" s="24">
        <v>43835</v>
      </c>
      <c r="B72" s="23">
        <v>38.484200000000001</v>
      </c>
      <c r="C72" s="23">
        <v>34.33</v>
      </c>
      <c r="D72" s="23">
        <v>1.8089755999999999E-2</v>
      </c>
      <c r="E72" s="23"/>
      <c r="F72" s="23"/>
      <c r="G72" s="23"/>
      <c r="H72" s="23"/>
      <c r="I72" s="24">
        <v>43835</v>
      </c>
      <c r="J72" s="23">
        <v>5634.9552000000003</v>
      </c>
      <c r="K72" s="23">
        <v>5245.89</v>
      </c>
      <c r="L72" s="23">
        <v>1.496872E-3</v>
      </c>
      <c r="P72">
        <v>42</v>
      </c>
      <c r="Q72">
        <v>1.9178866270940471E-2</v>
      </c>
      <c r="R72">
        <v>8.0466544729059536E-2</v>
      </c>
      <c r="S72">
        <v>2.2396938500740142</v>
      </c>
    </row>
    <row r="73" spans="1:19">
      <c r="A73" s="24">
        <v>44048</v>
      </c>
      <c r="B73" s="23">
        <v>39.526699999999998</v>
      </c>
      <c r="C73" s="23">
        <v>35.26</v>
      </c>
      <c r="D73" s="23">
        <v>2.7089038999999999E-2</v>
      </c>
      <c r="E73" s="23"/>
      <c r="F73" s="23"/>
      <c r="G73" s="23"/>
      <c r="H73" s="23"/>
      <c r="I73" s="24">
        <v>44048</v>
      </c>
      <c r="J73" s="23">
        <v>5790.9111999999996</v>
      </c>
      <c r="K73" s="23">
        <v>5391.0780000000004</v>
      </c>
      <c r="L73" s="23">
        <v>2.7676528999999998E-2</v>
      </c>
      <c r="P73">
        <v>43</v>
      </c>
      <c r="Q73">
        <v>-6.2439506707862788E-3</v>
      </c>
      <c r="R73">
        <v>-8.8131623292137216E-3</v>
      </c>
      <c r="S73">
        <v>-0.24530425079027307</v>
      </c>
    </row>
    <row r="74" spans="1:19">
      <c r="A74" s="23" t="s">
        <v>155</v>
      </c>
      <c r="B74" s="23">
        <v>38.439399999999999</v>
      </c>
      <c r="C74" s="23">
        <v>34.29</v>
      </c>
      <c r="D74" s="23">
        <v>-2.7507988000000001E-2</v>
      </c>
      <c r="E74" s="23"/>
      <c r="F74" s="23"/>
      <c r="G74" s="23"/>
      <c r="H74" s="23"/>
      <c r="I74" s="23" t="s">
        <v>155</v>
      </c>
      <c r="J74" s="23">
        <v>5805.8334999999997</v>
      </c>
      <c r="K74" s="23">
        <v>5404.8059999999996</v>
      </c>
      <c r="L74" s="23">
        <v>2.5768480000000001E-3</v>
      </c>
      <c r="P74">
        <v>44</v>
      </c>
      <c r="Q74">
        <v>1.3768035912221874E-2</v>
      </c>
      <c r="R74">
        <v>-1.4860165912221874E-2</v>
      </c>
      <c r="S74">
        <v>-0.41361565004124445</v>
      </c>
    </row>
    <row r="75" spans="1:19">
      <c r="A75" s="23" t="s">
        <v>156</v>
      </c>
      <c r="B75" s="23">
        <v>39.403399999999998</v>
      </c>
      <c r="C75" s="23">
        <v>35.15</v>
      </c>
      <c r="D75" s="23">
        <v>2.5078435E-2</v>
      </c>
      <c r="E75" s="23"/>
      <c r="F75" s="23"/>
      <c r="G75" s="23"/>
      <c r="H75" s="23"/>
      <c r="I75" s="23" t="s">
        <v>156</v>
      </c>
      <c r="J75" s="23">
        <v>5908.1264000000001</v>
      </c>
      <c r="K75" s="23">
        <v>5497.027</v>
      </c>
      <c r="L75" s="23">
        <v>1.7618986E-2</v>
      </c>
      <c r="P75">
        <v>45</v>
      </c>
      <c r="Q75">
        <v>2.273743034067336E-2</v>
      </c>
      <c r="R75">
        <v>-2.2192031340673362E-2</v>
      </c>
      <c r="S75">
        <v>-0.61768970299039239</v>
      </c>
    </row>
    <row r="76" spans="1:19">
      <c r="A76" s="23" t="s">
        <v>157</v>
      </c>
      <c r="B76" s="23">
        <v>41.611800000000002</v>
      </c>
      <c r="C76" s="23">
        <v>37.119999999999997</v>
      </c>
      <c r="D76" s="23">
        <v>5.6045925000000003E-2</v>
      </c>
      <c r="E76" s="23"/>
      <c r="F76" s="23"/>
      <c r="G76" s="23"/>
      <c r="H76" s="23"/>
      <c r="I76" s="23" t="s">
        <v>157</v>
      </c>
      <c r="J76" s="23">
        <v>6187.2181</v>
      </c>
      <c r="K76" s="23">
        <v>5755.69</v>
      </c>
      <c r="L76" s="23">
        <v>4.7238613999999998E-2</v>
      </c>
      <c r="P76">
        <v>46</v>
      </c>
      <c r="Q76">
        <v>-8.2865305603157715E-3</v>
      </c>
      <c r="R76">
        <v>2.5503395603157716E-3</v>
      </c>
      <c r="S76">
        <v>7.098577238618381E-2</v>
      </c>
    </row>
    <row r="77" spans="1:19">
      <c r="A77" s="24">
        <v>43957</v>
      </c>
      <c r="B77" s="23">
        <v>45.232700000000001</v>
      </c>
      <c r="C77" s="23">
        <v>40.35</v>
      </c>
      <c r="D77" s="23">
        <v>8.7016182999999997E-2</v>
      </c>
      <c r="E77" s="23"/>
      <c r="F77" s="23"/>
      <c r="G77" s="23"/>
      <c r="H77" s="23"/>
      <c r="I77" s="24">
        <v>43957</v>
      </c>
      <c r="J77" s="23">
        <v>6448.6175999999996</v>
      </c>
      <c r="K77" s="23">
        <v>5998.7150000000001</v>
      </c>
      <c r="L77" s="23">
        <v>4.2248308999999998E-2</v>
      </c>
      <c r="P77">
        <v>47</v>
      </c>
      <c r="Q77">
        <v>2.6785239041337228E-2</v>
      </c>
      <c r="R77">
        <v>9.6215095866277259E-4</v>
      </c>
      <c r="S77">
        <v>2.6780366824693588E-2</v>
      </c>
    </row>
    <row r="78" spans="1:19">
      <c r="A78" s="24">
        <v>44171</v>
      </c>
      <c r="B78" s="23">
        <v>44.840299999999999</v>
      </c>
      <c r="C78" s="23">
        <v>40</v>
      </c>
      <c r="D78" s="23">
        <v>-8.6751399999999996E-3</v>
      </c>
      <c r="E78" s="23"/>
      <c r="F78" s="23"/>
      <c r="G78" s="23"/>
      <c r="H78" s="23"/>
      <c r="I78" s="24">
        <v>44171</v>
      </c>
      <c r="J78" s="23">
        <v>6286.3980000000001</v>
      </c>
      <c r="K78" s="23">
        <v>5847.8130000000001</v>
      </c>
      <c r="L78" s="23">
        <v>-2.5155717000000001E-2</v>
      </c>
      <c r="P78">
        <v>48</v>
      </c>
      <c r="Q78">
        <v>-1.6757069043636233E-2</v>
      </c>
      <c r="R78">
        <v>3.4667001043636236E-2</v>
      </c>
      <c r="S78">
        <v>0.96491615614136705</v>
      </c>
    </row>
    <row r="79" spans="1:19">
      <c r="A79" s="23" t="s">
        <v>158</v>
      </c>
      <c r="B79" s="23">
        <v>44.817900000000002</v>
      </c>
      <c r="C79" s="23">
        <v>39.979999999999997</v>
      </c>
      <c r="D79" s="23">
        <v>-4.9955099999999999E-4</v>
      </c>
      <c r="E79" s="23"/>
      <c r="F79" s="23"/>
      <c r="G79" s="23"/>
      <c r="H79" s="23"/>
      <c r="I79" s="23" t="s">
        <v>158</v>
      </c>
      <c r="J79" s="23">
        <v>6388.2713999999996</v>
      </c>
      <c r="K79" s="23">
        <v>5942.5789999999997</v>
      </c>
      <c r="L79" s="23">
        <v>1.6205369000000001E-2</v>
      </c>
      <c r="P79">
        <v>49</v>
      </c>
      <c r="Q79">
        <v>9.9746130469744367E-3</v>
      </c>
      <c r="R79">
        <v>-2.5730362046974438E-2</v>
      </c>
      <c r="S79">
        <v>-0.71617507413580739</v>
      </c>
    </row>
    <row r="80" spans="1:19">
      <c r="A80" s="23" t="s">
        <v>159</v>
      </c>
      <c r="B80" s="23">
        <v>47.351399999999998</v>
      </c>
      <c r="C80" s="23">
        <v>42.24</v>
      </c>
      <c r="D80" s="23">
        <v>5.6528753000000001E-2</v>
      </c>
      <c r="E80" s="23"/>
      <c r="F80" s="23"/>
      <c r="G80" s="23"/>
      <c r="H80" s="23"/>
      <c r="I80" s="23" t="s">
        <v>159</v>
      </c>
      <c r="J80" s="23">
        <v>6346.8850000000002</v>
      </c>
      <c r="K80" s="23">
        <v>5904.08</v>
      </c>
      <c r="L80" s="23">
        <v>-6.4784969999999997E-3</v>
      </c>
      <c r="P80">
        <v>50</v>
      </c>
      <c r="Q80">
        <v>1.6941454505254881E-2</v>
      </c>
      <c r="R80">
        <v>3.9355119494745121E-2</v>
      </c>
      <c r="S80">
        <v>1.0954045485375072</v>
      </c>
    </row>
    <row r="81" spans="1:19">
      <c r="A81" s="24">
        <v>43897</v>
      </c>
      <c r="B81" s="23">
        <v>47.855800000000002</v>
      </c>
      <c r="C81" s="23">
        <v>42.69</v>
      </c>
      <c r="D81" s="23">
        <v>1.0652272000000001E-2</v>
      </c>
      <c r="E81" s="23"/>
      <c r="F81" s="23"/>
      <c r="G81" s="23"/>
      <c r="H81" s="23"/>
      <c r="I81" s="24">
        <v>43897</v>
      </c>
      <c r="J81" s="23">
        <v>6521.0995999999996</v>
      </c>
      <c r="K81" s="23">
        <v>6057.8770000000004</v>
      </c>
      <c r="L81" s="23">
        <v>2.7448835000000001E-2</v>
      </c>
      <c r="P81">
        <v>51</v>
      </c>
      <c r="Q81">
        <v>5.6240436915056778E-3</v>
      </c>
      <c r="R81">
        <v>-8.6554706915056775E-3</v>
      </c>
      <c r="S81">
        <v>-0.24091508517651386</v>
      </c>
    </row>
    <row r="82" spans="1:19">
      <c r="A82" s="24">
        <v>44111</v>
      </c>
      <c r="B82" s="23">
        <v>47.530700000000003</v>
      </c>
      <c r="C82" s="23">
        <v>42.4</v>
      </c>
      <c r="D82" s="23">
        <v>-6.7933250000000002E-3</v>
      </c>
      <c r="E82" s="23"/>
      <c r="F82" s="23"/>
      <c r="G82" s="23"/>
      <c r="H82" s="23"/>
      <c r="I82" s="24">
        <v>44111</v>
      </c>
      <c r="J82" s="23">
        <v>6372.3019999999997</v>
      </c>
      <c r="K82" s="23">
        <v>5919.2169999999996</v>
      </c>
      <c r="L82" s="23">
        <v>-2.2817870000000001E-2</v>
      </c>
      <c r="P82">
        <v>52</v>
      </c>
      <c r="Q82">
        <v>-6.8612109819810255E-3</v>
      </c>
      <c r="R82">
        <v>-2.2021405018018976E-2</v>
      </c>
      <c r="S82">
        <v>-0.61294051527770355</v>
      </c>
    </row>
    <row r="83" spans="1:19">
      <c r="A83" s="23" t="s">
        <v>160</v>
      </c>
      <c r="B83" s="23">
        <v>48.45</v>
      </c>
      <c r="C83" s="23">
        <v>43.22</v>
      </c>
      <c r="D83" s="23">
        <v>1.9341184000000001E-2</v>
      </c>
      <c r="E83" s="23"/>
      <c r="F83" s="23"/>
      <c r="G83" s="23"/>
      <c r="H83" s="23"/>
      <c r="I83" s="23" t="s">
        <v>160</v>
      </c>
      <c r="J83" s="23">
        <v>6495.5313999999998</v>
      </c>
      <c r="K83" s="23">
        <v>6033.6260000000002</v>
      </c>
      <c r="L83" s="23">
        <v>1.9338286E-2</v>
      </c>
      <c r="P83">
        <v>53</v>
      </c>
      <c r="Q83">
        <v>3.569874096355697E-2</v>
      </c>
      <c r="R83">
        <v>3.2394386036443033E-2</v>
      </c>
      <c r="S83">
        <v>0.90166052770180827</v>
      </c>
    </row>
    <row r="84" spans="1:19">
      <c r="A84" s="23" t="s">
        <v>161</v>
      </c>
      <c r="B84" s="23">
        <v>49.817599999999999</v>
      </c>
      <c r="C84" s="23">
        <v>44.44</v>
      </c>
      <c r="D84" s="23">
        <v>2.8227037999999999E-2</v>
      </c>
      <c r="E84" s="23"/>
      <c r="F84" s="23"/>
      <c r="G84" s="23"/>
      <c r="H84" s="23"/>
      <c r="I84" s="23" t="s">
        <v>161</v>
      </c>
      <c r="J84" s="23">
        <v>6485.1662999999999</v>
      </c>
      <c r="K84" s="23">
        <v>6023.9979999999996</v>
      </c>
      <c r="L84" s="23">
        <v>-1.595728E-3</v>
      </c>
      <c r="P84">
        <v>54</v>
      </c>
      <c r="Q84">
        <v>2.5544767493400393E-2</v>
      </c>
      <c r="R84">
        <v>-2.4080162493400392E-2</v>
      </c>
      <c r="S84">
        <v>-0.67024366495228449</v>
      </c>
    </row>
    <row r="85" spans="1:19">
      <c r="A85" s="23" t="s">
        <v>162</v>
      </c>
      <c r="B85" s="23">
        <v>51.196399999999997</v>
      </c>
      <c r="C85" s="23">
        <v>45.67</v>
      </c>
      <c r="D85" s="23">
        <v>2.7676966000000001E-2</v>
      </c>
      <c r="E85" s="23"/>
      <c r="F85" s="23"/>
      <c r="G85" s="23"/>
      <c r="H85" s="23"/>
      <c r="I85" s="23" t="s">
        <v>162</v>
      </c>
      <c r="J85" s="23">
        <v>6381.7641000000003</v>
      </c>
      <c r="K85" s="23">
        <v>5927.7809999999999</v>
      </c>
      <c r="L85" s="23">
        <v>-1.5944417999999998E-2</v>
      </c>
      <c r="P85">
        <v>55</v>
      </c>
      <c r="Q85">
        <v>8.7711764577962422E-3</v>
      </c>
      <c r="R85">
        <v>-8.5278084577962415E-3</v>
      </c>
      <c r="S85">
        <v>-0.23736175353181013</v>
      </c>
    </row>
    <row r="86" spans="1:19">
      <c r="A86" s="24">
        <v>44020</v>
      </c>
      <c r="B86" s="23">
        <v>51.185200000000002</v>
      </c>
      <c r="C86" s="23">
        <v>45.66</v>
      </c>
      <c r="D86" s="23">
        <v>-2.18765E-4</v>
      </c>
      <c r="E86" s="23"/>
      <c r="F86" s="23"/>
      <c r="G86" s="23"/>
      <c r="H86" s="23"/>
      <c r="I86" s="24">
        <v>44020</v>
      </c>
      <c r="J86" s="23">
        <v>6469.2753000000002</v>
      </c>
      <c r="K86" s="23">
        <v>6004.8389999999999</v>
      </c>
      <c r="L86" s="23">
        <v>1.3712696999999999E-2</v>
      </c>
      <c r="P86">
        <v>56</v>
      </c>
      <c r="Q86">
        <v>-6.214926204903555E-3</v>
      </c>
      <c r="R86">
        <v>-2.6703880795096446E-2</v>
      </c>
      <c r="S86">
        <v>-0.74327185032325549</v>
      </c>
    </row>
    <row r="87" spans="1:19">
      <c r="A87" s="23" t="s">
        <v>163</v>
      </c>
      <c r="B87" s="23">
        <v>53.057299999999998</v>
      </c>
      <c r="C87" s="23">
        <v>47.33</v>
      </c>
      <c r="D87" s="23">
        <v>3.6575025999999997E-2</v>
      </c>
      <c r="E87" s="23"/>
      <c r="F87" s="23"/>
      <c r="G87" s="23"/>
      <c r="H87" s="23"/>
      <c r="I87" s="23" t="s">
        <v>163</v>
      </c>
      <c r="J87" s="23">
        <v>6600.8494000000001</v>
      </c>
      <c r="K87" s="23">
        <v>6126.2489999999998</v>
      </c>
      <c r="L87" s="23">
        <v>2.0338306E-2</v>
      </c>
      <c r="P87">
        <v>57</v>
      </c>
      <c r="Q87">
        <v>5.6041515706768174E-3</v>
      </c>
      <c r="R87">
        <v>5.4914814293231832E-3</v>
      </c>
      <c r="S87">
        <v>0.15284907816613463</v>
      </c>
    </row>
    <row r="88" spans="1:19">
      <c r="A88" s="23" t="s">
        <v>164</v>
      </c>
      <c r="B88" s="23">
        <v>57.104100000000003</v>
      </c>
      <c r="C88" s="23">
        <v>50.94</v>
      </c>
      <c r="D88" s="23">
        <v>7.6272256999999996E-2</v>
      </c>
      <c r="E88" s="23"/>
      <c r="F88" s="23"/>
      <c r="G88" s="23"/>
      <c r="H88" s="23"/>
      <c r="I88" s="23" t="s">
        <v>164</v>
      </c>
      <c r="J88" s="23">
        <v>6597.2487000000001</v>
      </c>
      <c r="K88" s="23">
        <v>6111.1840000000002</v>
      </c>
      <c r="L88" s="23">
        <v>-5.4549000000000004E-4</v>
      </c>
      <c r="P88">
        <v>58</v>
      </c>
      <c r="Q88">
        <v>2.1491362304357366E-2</v>
      </c>
      <c r="R88">
        <v>1.4667345695642632E-2</v>
      </c>
      <c r="S88">
        <v>0.40824872078267388</v>
      </c>
    </row>
    <row r="89" spans="1:19">
      <c r="A89" s="23" t="s">
        <v>165</v>
      </c>
      <c r="B89" s="23">
        <v>58.775399999999998</v>
      </c>
      <c r="C89" s="23">
        <v>51.16</v>
      </c>
      <c r="D89" s="23">
        <v>2.9267601000000001E-2</v>
      </c>
      <c r="E89" s="23"/>
      <c r="F89" s="23"/>
      <c r="G89" s="23"/>
      <c r="H89" s="23"/>
      <c r="I89" s="23" t="s">
        <v>165</v>
      </c>
      <c r="J89" s="23">
        <v>6579.9539000000004</v>
      </c>
      <c r="K89" s="23">
        <v>6073.8130000000001</v>
      </c>
      <c r="L89" s="23">
        <v>-2.6215169999999999E-3</v>
      </c>
      <c r="P89">
        <v>59</v>
      </c>
      <c r="Q89">
        <v>9.7358692794964133E-3</v>
      </c>
      <c r="R89">
        <v>-6.9408282794964134E-3</v>
      </c>
      <c r="S89">
        <v>-0.1931899830463816</v>
      </c>
    </row>
    <row r="90" spans="1:19">
      <c r="A90" s="24">
        <v>43930</v>
      </c>
      <c r="B90" s="23">
        <v>57.189900000000002</v>
      </c>
      <c r="C90" s="23">
        <v>49.78</v>
      </c>
      <c r="D90" s="23">
        <v>-2.6975571E-2</v>
      </c>
      <c r="E90" s="23"/>
      <c r="F90" s="23"/>
      <c r="G90" s="23"/>
      <c r="H90" s="23"/>
      <c r="I90" s="24">
        <v>43930</v>
      </c>
      <c r="J90" s="23">
        <v>6449.0024999999996</v>
      </c>
      <c r="K90" s="23">
        <v>5925.509</v>
      </c>
      <c r="L90" s="23">
        <v>-1.9901568000000001E-2</v>
      </c>
      <c r="P90">
        <v>60</v>
      </c>
      <c r="Q90">
        <v>-9.5740247804941364E-2</v>
      </c>
      <c r="R90">
        <v>1.0231291804941367E-2</v>
      </c>
      <c r="S90">
        <v>0.28477625590855493</v>
      </c>
    </row>
    <row r="91" spans="1:19">
      <c r="A91" s="24">
        <v>44144</v>
      </c>
      <c r="B91" s="23">
        <v>53.823799999999999</v>
      </c>
      <c r="C91" s="23">
        <v>46.85</v>
      </c>
      <c r="D91" s="23">
        <v>-5.8858294999999998E-2</v>
      </c>
      <c r="E91" s="23"/>
      <c r="F91" s="23"/>
      <c r="G91" s="23"/>
      <c r="H91" s="23"/>
      <c r="I91" s="24">
        <v>44144</v>
      </c>
      <c r="J91" s="23">
        <v>6386.3836000000001</v>
      </c>
      <c r="K91" s="23">
        <v>5859.4219999999996</v>
      </c>
      <c r="L91" s="23">
        <v>-9.709858E-3</v>
      </c>
      <c r="P91">
        <v>61</v>
      </c>
      <c r="Q91">
        <v>-2.5126548230240027E-2</v>
      </c>
      <c r="R91">
        <v>-4.3643319769759971E-2</v>
      </c>
      <c r="S91">
        <v>-1.2147616778410597</v>
      </c>
    </row>
    <row r="92" spans="1:19">
      <c r="A92" s="23" t="s">
        <v>166</v>
      </c>
      <c r="B92" s="23">
        <v>54.053600000000003</v>
      </c>
      <c r="C92" s="23">
        <v>47.05</v>
      </c>
      <c r="D92" s="23">
        <v>4.2694869999999998E-3</v>
      </c>
      <c r="E92" s="23"/>
      <c r="F92" s="23"/>
      <c r="G92" s="23"/>
      <c r="H92" s="23"/>
      <c r="I92" s="23" t="s">
        <v>166</v>
      </c>
      <c r="J92" s="23">
        <v>6393.4688999999998</v>
      </c>
      <c r="K92" s="23">
        <v>5864.5039999999999</v>
      </c>
      <c r="L92" s="23">
        <v>1.109439E-3</v>
      </c>
      <c r="P92">
        <v>62</v>
      </c>
      <c r="Q92">
        <v>-0.11000115605591822</v>
      </c>
      <c r="R92">
        <v>8.8694423055918209E-2</v>
      </c>
      <c r="S92">
        <v>2.4687073929056553</v>
      </c>
    </row>
    <row r="93" spans="1:19">
      <c r="A93" s="23" t="s">
        <v>167</v>
      </c>
      <c r="B93" s="23">
        <v>54.673900000000003</v>
      </c>
      <c r="C93" s="23">
        <v>47.59</v>
      </c>
      <c r="D93" s="23">
        <v>1.1475646000000001E-2</v>
      </c>
      <c r="E93" s="23"/>
      <c r="F93" s="23"/>
      <c r="G93" s="23"/>
      <c r="H93" s="23"/>
      <c r="I93" s="23" t="s">
        <v>167</v>
      </c>
      <c r="J93" s="23">
        <v>6504.0445</v>
      </c>
      <c r="K93" s="23">
        <v>5964.9219999999996</v>
      </c>
      <c r="L93" s="23">
        <v>1.7295087000000001E-2</v>
      </c>
      <c r="P93">
        <v>63</v>
      </c>
      <c r="Q93">
        <v>-0.13391201215826951</v>
      </c>
      <c r="R93">
        <v>-4.3541070841730506E-2</v>
      </c>
      <c r="S93">
        <v>-1.2119156963706816</v>
      </c>
    </row>
    <row r="94" spans="1:19">
      <c r="A94" s="24">
        <v>43871</v>
      </c>
      <c r="B94" s="23">
        <v>53.088500000000003</v>
      </c>
      <c r="C94" s="23">
        <v>46.21</v>
      </c>
      <c r="D94" s="23">
        <v>-2.8997383000000002E-2</v>
      </c>
      <c r="E94" s="23"/>
      <c r="F94" s="23"/>
      <c r="G94" s="23"/>
      <c r="H94" s="23"/>
      <c r="I94" s="24">
        <v>43871</v>
      </c>
      <c r="J94" s="23">
        <v>6315.5048999999999</v>
      </c>
      <c r="K94" s="23">
        <v>5791.5010000000002</v>
      </c>
      <c r="L94" s="23">
        <v>-2.8988054999999999E-2</v>
      </c>
      <c r="P94">
        <v>64</v>
      </c>
      <c r="Q94">
        <v>1.0884275506905988E-2</v>
      </c>
      <c r="R94">
        <v>-0.13017309050690601</v>
      </c>
      <c r="S94">
        <v>-3.623218459735309</v>
      </c>
    </row>
    <row r="95" spans="1:19">
      <c r="A95" s="24">
        <v>44084</v>
      </c>
      <c r="B95" s="23">
        <v>57.086500000000001</v>
      </c>
      <c r="C95" s="23">
        <v>49.69</v>
      </c>
      <c r="D95" s="23">
        <v>7.5308211999999999E-2</v>
      </c>
      <c r="E95" s="23"/>
      <c r="F95" s="23"/>
      <c r="G95" s="23"/>
      <c r="H95" s="23"/>
      <c r="I95" s="24">
        <v>44084</v>
      </c>
      <c r="J95" s="23">
        <v>6655.1387000000004</v>
      </c>
      <c r="K95" s="23">
        <v>6102.1689999999999</v>
      </c>
      <c r="L95" s="23">
        <v>5.3777775E-2</v>
      </c>
      <c r="P95">
        <v>65</v>
      </c>
      <c r="Q95">
        <v>5.4333256985933914E-2</v>
      </c>
      <c r="R95">
        <v>0.14451504201406609</v>
      </c>
      <c r="S95">
        <v>4.0224102070236185</v>
      </c>
    </row>
    <row r="96" spans="1:19">
      <c r="A96" s="23" t="s">
        <v>168</v>
      </c>
      <c r="B96" s="23">
        <v>59.947200000000002</v>
      </c>
      <c r="C96" s="23">
        <v>52.18</v>
      </c>
      <c r="D96" s="23">
        <v>5.0111673000000002E-2</v>
      </c>
      <c r="E96" s="23"/>
      <c r="F96" s="23"/>
      <c r="G96" s="23"/>
      <c r="H96" s="23"/>
      <c r="I96" s="23" t="s">
        <v>168</v>
      </c>
      <c r="J96" s="23">
        <v>6736.7078000000001</v>
      </c>
      <c r="K96" s="23">
        <v>6176.7920000000004</v>
      </c>
      <c r="L96" s="23">
        <v>1.2256559E-2</v>
      </c>
      <c r="P96">
        <v>66</v>
      </c>
      <c r="Q96">
        <v>7.2018499799990088E-2</v>
      </c>
      <c r="R96">
        <v>9.2129056200009912E-2</v>
      </c>
      <c r="S96">
        <v>2.56430646151217</v>
      </c>
    </row>
    <row r="97" spans="1:19">
      <c r="A97" s="23" t="s">
        <v>169</v>
      </c>
      <c r="B97" s="23">
        <v>58.3962</v>
      </c>
      <c r="C97" s="23">
        <v>50.83</v>
      </c>
      <c r="D97" s="23">
        <v>-2.5872768000000001E-2</v>
      </c>
      <c r="E97" s="23"/>
      <c r="F97" s="23"/>
      <c r="G97" s="23"/>
      <c r="H97" s="23"/>
      <c r="I97" s="23" t="s">
        <v>169</v>
      </c>
      <c r="J97" s="23">
        <v>6726.0793999999996</v>
      </c>
      <c r="K97" s="23">
        <v>6167.0469999999996</v>
      </c>
      <c r="L97" s="23">
        <v>-1.5776849999999999E-3</v>
      </c>
      <c r="P97">
        <v>67</v>
      </c>
      <c r="Q97">
        <v>2.4593173945660345E-2</v>
      </c>
      <c r="R97">
        <v>-4.9078598945660343E-2</v>
      </c>
      <c r="S97">
        <v>-1.3660464308360911</v>
      </c>
    </row>
    <row r="98" spans="1:19">
      <c r="A98" s="23" t="s">
        <v>170</v>
      </c>
      <c r="B98" s="23">
        <v>54.490099999999998</v>
      </c>
      <c r="C98" s="23">
        <v>47.43</v>
      </c>
      <c r="D98" s="23">
        <v>-6.6889625999999994E-2</v>
      </c>
      <c r="E98" s="23"/>
      <c r="F98" s="23"/>
      <c r="G98" s="23"/>
      <c r="H98" s="23"/>
      <c r="I98" s="23" t="s">
        <v>170</v>
      </c>
      <c r="J98" s="23">
        <v>6464.9050999999999</v>
      </c>
      <c r="K98" s="23">
        <v>5927.58</v>
      </c>
      <c r="L98" s="23">
        <v>-3.8830095000000002E-2</v>
      </c>
      <c r="P98">
        <v>68</v>
      </c>
      <c r="Q98">
        <v>-4.2658254823548E-2</v>
      </c>
      <c r="R98">
        <v>6.2314757823547999E-2</v>
      </c>
      <c r="S98">
        <v>1.7344597103825861</v>
      </c>
    </row>
    <row r="99" spans="1:19">
      <c r="A99" s="24">
        <v>43993</v>
      </c>
      <c r="B99" s="23">
        <v>56.006599999999999</v>
      </c>
      <c r="C99" s="23">
        <v>48.75</v>
      </c>
      <c r="D99" s="23">
        <v>2.7830744000000001E-2</v>
      </c>
      <c r="E99" s="23"/>
      <c r="F99" s="23"/>
      <c r="G99" s="23"/>
      <c r="H99" s="23"/>
      <c r="I99" s="24">
        <v>43993</v>
      </c>
      <c r="J99" s="23">
        <v>6751.9201000000003</v>
      </c>
      <c r="K99" s="23">
        <v>6190.1790000000001</v>
      </c>
      <c r="L99" s="23">
        <v>4.4395856999999997E-2</v>
      </c>
      <c r="P99">
        <v>69</v>
      </c>
      <c r="Q99">
        <v>6.3846775625425369E-3</v>
      </c>
      <c r="R99">
        <v>1.1705078437457462E-2</v>
      </c>
      <c r="S99">
        <v>0.32579741405921092</v>
      </c>
    </row>
    <row r="100" spans="1:19">
      <c r="A100" s="23" t="s">
        <v>171</v>
      </c>
      <c r="B100" s="23">
        <v>52.628999999999998</v>
      </c>
      <c r="C100" s="23">
        <v>45.81</v>
      </c>
      <c r="D100" s="23">
        <v>-6.0307178000000003E-2</v>
      </c>
      <c r="E100" s="23"/>
      <c r="F100" s="23"/>
      <c r="G100" s="23"/>
      <c r="H100" s="23"/>
      <c r="I100" s="23" t="s">
        <v>171</v>
      </c>
      <c r="J100" s="23">
        <v>7004.0039999999999</v>
      </c>
      <c r="K100" s="23">
        <v>6405.2219999999998</v>
      </c>
      <c r="L100" s="23">
        <v>3.7335143000000001E-2</v>
      </c>
      <c r="P100">
        <v>70</v>
      </c>
      <c r="Q100">
        <v>3.4249673030578659E-2</v>
      </c>
      <c r="R100">
        <v>-7.1606340305786602E-3</v>
      </c>
      <c r="S100">
        <v>-0.19930802366273256</v>
      </c>
    </row>
    <row r="101" spans="1:19">
      <c r="A101" s="23" t="s">
        <v>172</v>
      </c>
      <c r="B101" s="23">
        <v>52.870199999999997</v>
      </c>
      <c r="C101" s="23">
        <v>46.02</v>
      </c>
      <c r="D101" s="23">
        <v>4.5830250000000001E-3</v>
      </c>
      <c r="E101" s="23"/>
      <c r="F101" s="23"/>
      <c r="G101" s="23"/>
      <c r="H101" s="23"/>
      <c r="I101" s="23" t="s">
        <v>172</v>
      </c>
      <c r="J101" s="23">
        <v>7153.2655999999997</v>
      </c>
      <c r="K101" s="23">
        <v>6539.174</v>
      </c>
      <c r="L101" s="23">
        <v>2.1310895999999999E-2</v>
      </c>
      <c r="P101">
        <v>71</v>
      </c>
      <c r="Q101">
        <v>7.5341779683571648E-3</v>
      </c>
      <c r="R101">
        <v>-3.5042165968357165E-2</v>
      </c>
      <c r="S101">
        <v>-0.97535844091313384</v>
      </c>
    </row>
    <row r="102" spans="1:19">
      <c r="A102" s="23" t="s">
        <v>173</v>
      </c>
      <c r="B102" s="23">
        <v>52.8932</v>
      </c>
      <c r="C102" s="23">
        <v>46.04</v>
      </c>
      <c r="D102" s="23">
        <v>4.3502800000000001E-4</v>
      </c>
      <c r="E102" s="23"/>
      <c r="F102" s="23"/>
      <c r="G102" s="23"/>
      <c r="H102" s="23"/>
      <c r="I102" s="23" t="s">
        <v>173</v>
      </c>
      <c r="J102" s="23">
        <v>7221.9494000000004</v>
      </c>
      <c r="K102" s="23">
        <v>6601.0519999999997</v>
      </c>
      <c r="L102" s="23">
        <v>9.6017399999999992E-3</v>
      </c>
      <c r="P102">
        <v>72</v>
      </c>
      <c r="Q102">
        <v>2.35446668452578E-2</v>
      </c>
      <c r="R102">
        <v>1.5337681547421995E-3</v>
      </c>
      <c r="S102">
        <v>4.2690674928097194E-2</v>
      </c>
    </row>
    <row r="103" spans="1:19">
      <c r="A103" s="24">
        <v>43933</v>
      </c>
      <c r="B103" s="23">
        <v>51.698399999999999</v>
      </c>
      <c r="C103" s="23">
        <v>45</v>
      </c>
      <c r="D103" s="23">
        <v>-2.2588915000000001E-2</v>
      </c>
      <c r="E103" s="23"/>
      <c r="F103" s="23"/>
      <c r="G103" s="23"/>
      <c r="H103" s="23"/>
      <c r="I103" s="24">
        <v>43933</v>
      </c>
      <c r="J103" s="23">
        <v>7259.2080999999998</v>
      </c>
      <c r="K103" s="23">
        <v>6634.0820000000003</v>
      </c>
      <c r="L103" s="23">
        <v>5.1590919999999997E-3</v>
      </c>
      <c r="P103">
        <v>73</v>
      </c>
      <c r="Q103">
        <v>5.5071084474981366E-2</v>
      </c>
      <c r="R103">
        <v>9.7484052501863733E-4</v>
      </c>
      <c r="S103">
        <v>2.7133566329196144E-2</v>
      </c>
    </row>
    <row r="104" spans="1:19">
      <c r="A104" s="24">
        <v>44147</v>
      </c>
      <c r="B104" s="23">
        <v>50.572499999999998</v>
      </c>
      <c r="C104" s="23">
        <v>44.02</v>
      </c>
      <c r="D104" s="23">
        <v>-2.1778236999999999E-2</v>
      </c>
      <c r="E104" s="23"/>
      <c r="F104" s="23"/>
      <c r="G104" s="23"/>
      <c r="H104" s="23"/>
      <c r="I104" s="24">
        <v>44147</v>
      </c>
      <c r="J104" s="23">
        <v>7268.6129000000001</v>
      </c>
      <c r="K104" s="23">
        <v>6642.58</v>
      </c>
      <c r="L104" s="23">
        <v>1.295568E-3</v>
      </c>
      <c r="P104">
        <v>74</v>
      </c>
      <c r="Q104">
        <v>4.9759524197124476E-2</v>
      </c>
      <c r="R104">
        <v>3.7256658802875521E-2</v>
      </c>
      <c r="S104">
        <v>1.0369963054343945</v>
      </c>
    </row>
    <row r="105" spans="1:19">
      <c r="A105" s="23" t="s">
        <v>174</v>
      </c>
      <c r="B105" s="23">
        <v>55.145000000000003</v>
      </c>
      <c r="C105" s="23">
        <v>48</v>
      </c>
      <c r="D105" s="23">
        <v>9.0414751000000002E-2</v>
      </c>
      <c r="E105" s="23"/>
      <c r="F105" s="23"/>
      <c r="G105" s="23"/>
      <c r="H105" s="23"/>
      <c r="I105" s="23" t="s">
        <v>174</v>
      </c>
      <c r="J105" s="23">
        <v>7304.6004999999996</v>
      </c>
      <c r="K105" s="23">
        <v>6675.4679999999998</v>
      </c>
      <c r="L105" s="23">
        <v>4.9510960000000003E-3</v>
      </c>
      <c r="P105">
        <v>75</v>
      </c>
      <c r="Q105">
        <v>-2.1983695319364567E-2</v>
      </c>
      <c r="R105">
        <v>1.3308555319364567E-2</v>
      </c>
      <c r="S105">
        <v>0.37042835134172419</v>
      </c>
    </row>
    <row r="106" spans="1:19">
      <c r="A106" s="23" t="s">
        <v>175</v>
      </c>
      <c r="B106" s="23">
        <v>55.512599999999999</v>
      </c>
      <c r="C106" s="23">
        <v>48.32</v>
      </c>
      <c r="D106" s="23">
        <v>6.6660620000000004E-3</v>
      </c>
      <c r="E106" s="23"/>
      <c r="F106" s="23"/>
      <c r="G106" s="23"/>
      <c r="H106" s="23"/>
      <c r="I106" s="23" t="s">
        <v>175</v>
      </c>
      <c r="J106" s="23">
        <v>7293.3606</v>
      </c>
      <c r="K106" s="23">
        <v>6664.7730000000001</v>
      </c>
      <c r="L106" s="23">
        <v>-1.538743E-3</v>
      </c>
      <c r="P106">
        <v>76</v>
      </c>
      <c r="Q106">
        <v>2.2040047006329479E-2</v>
      </c>
      <c r="R106">
        <v>-2.253959800632948E-2</v>
      </c>
      <c r="S106">
        <v>-0.62736382191996554</v>
      </c>
    </row>
    <row r="107" spans="1:19">
      <c r="A107" s="24">
        <v>44197</v>
      </c>
      <c r="B107" s="23">
        <v>55.857300000000002</v>
      </c>
      <c r="C107" s="23">
        <v>48.62</v>
      </c>
      <c r="D107" s="23">
        <v>6.2094009999999998E-3</v>
      </c>
      <c r="E107" s="23"/>
      <c r="F107" s="23"/>
      <c r="G107" s="23"/>
      <c r="H107" s="23"/>
      <c r="I107" s="24">
        <v>44197</v>
      </c>
      <c r="J107" s="23">
        <v>7217.8092999999999</v>
      </c>
      <c r="K107" s="23">
        <v>6587.0959999999995</v>
      </c>
      <c r="L107" s="23">
        <v>-1.0358915E-2</v>
      </c>
      <c r="P107">
        <v>77</v>
      </c>
      <c r="Q107">
        <v>-2.1041128383750829E-3</v>
      </c>
      <c r="R107">
        <v>5.8632865838375084E-2</v>
      </c>
      <c r="S107">
        <v>1.6319784759317357</v>
      </c>
    </row>
    <row r="108" spans="1:19">
      <c r="A108" s="24">
        <v>44409</v>
      </c>
      <c r="B108" s="23">
        <v>57.235900000000001</v>
      </c>
      <c r="C108" s="23">
        <v>49.82</v>
      </c>
      <c r="D108" s="23">
        <v>2.4680748999999998E-2</v>
      </c>
      <c r="E108" s="23"/>
      <c r="F108" s="23"/>
      <c r="G108" s="23"/>
      <c r="H108" s="23"/>
      <c r="I108" s="24">
        <v>44409</v>
      </c>
      <c r="J108" s="23">
        <v>7405.1405999999997</v>
      </c>
      <c r="K108" s="23">
        <v>6757.8689999999997</v>
      </c>
      <c r="L108" s="23">
        <v>2.5954037999999999E-2</v>
      </c>
      <c r="P108">
        <v>78</v>
      </c>
      <c r="Q108">
        <v>3.4007321028866069E-2</v>
      </c>
      <c r="R108">
        <v>-2.3355049028866069E-2</v>
      </c>
      <c r="S108">
        <v>-0.65006096451955564</v>
      </c>
    </row>
    <row r="109" spans="1:19">
      <c r="A109" s="23" t="s">
        <v>176</v>
      </c>
      <c r="B109" s="23">
        <v>58.327300000000001</v>
      </c>
      <c r="C109" s="23">
        <v>50.77</v>
      </c>
      <c r="D109" s="23">
        <v>1.9068452E-2</v>
      </c>
      <c r="E109" s="23"/>
      <c r="F109" s="23"/>
      <c r="G109" s="23"/>
      <c r="H109" s="23"/>
      <c r="I109" s="23" t="s">
        <v>176</v>
      </c>
      <c r="J109" s="23">
        <v>7358.7705999999998</v>
      </c>
      <c r="K109" s="23">
        <v>6715.4319999999998</v>
      </c>
      <c r="L109" s="23">
        <v>-6.2618659999999996E-3</v>
      </c>
      <c r="P109">
        <v>79</v>
      </c>
      <c r="Q109">
        <v>-1.9495347360490932E-2</v>
      </c>
      <c r="R109">
        <v>1.2702022360490933E-2</v>
      </c>
      <c r="S109">
        <v>0.35354620308457541</v>
      </c>
    </row>
    <row r="110" spans="1:19">
      <c r="A110" s="23" t="s">
        <v>177</v>
      </c>
      <c r="B110" s="23">
        <v>58.603000000000002</v>
      </c>
      <c r="C110" s="23">
        <v>51.01</v>
      </c>
      <c r="D110" s="23">
        <v>4.7267749999999999E-3</v>
      </c>
      <c r="E110" s="23"/>
      <c r="F110" s="23"/>
      <c r="G110" s="23"/>
      <c r="H110" s="23"/>
      <c r="I110" s="23" t="s">
        <v>177</v>
      </c>
      <c r="J110" s="23">
        <v>7451.8413</v>
      </c>
      <c r="K110" s="23">
        <v>6800.366</v>
      </c>
      <c r="L110" s="23">
        <v>1.2647588E-2</v>
      </c>
      <c r="P110">
        <v>80</v>
      </c>
      <c r="Q110">
        <v>2.5374648296435508E-2</v>
      </c>
      <c r="R110">
        <v>-6.0334642964355069E-3</v>
      </c>
      <c r="S110">
        <v>-0.16793454876020847</v>
      </c>
    </row>
    <row r="111" spans="1:19">
      <c r="A111" s="23" t="s">
        <v>178</v>
      </c>
      <c r="B111" s="23">
        <v>59.476199999999999</v>
      </c>
      <c r="C111" s="23">
        <v>51.77</v>
      </c>
      <c r="D111" s="23">
        <v>1.4900261E-2</v>
      </c>
      <c r="E111" s="23"/>
      <c r="F111" s="23"/>
      <c r="G111" s="23"/>
      <c r="H111" s="23"/>
      <c r="I111" s="23" t="s">
        <v>178</v>
      </c>
      <c r="J111" s="23">
        <v>7240.3419999999996</v>
      </c>
      <c r="K111" s="23">
        <v>6607.357</v>
      </c>
      <c r="L111" s="23">
        <v>-2.8382153E-2</v>
      </c>
      <c r="P111">
        <v>81</v>
      </c>
      <c r="Q111">
        <v>3.0929887148067351E-3</v>
      </c>
      <c r="R111">
        <v>2.5134049285193263E-2</v>
      </c>
      <c r="S111">
        <v>0.69957739332598845</v>
      </c>
    </row>
    <row r="112" spans="1:19">
      <c r="A112" s="24">
        <v>44318</v>
      </c>
      <c r="B112" s="23">
        <v>58.694899999999997</v>
      </c>
      <c r="C112" s="23">
        <v>51.09</v>
      </c>
      <c r="D112" s="23">
        <v>-1.3136347E-2</v>
      </c>
      <c r="E112" s="23"/>
      <c r="F112" s="23"/>
      <c r="G112" s="23"/>
      <c r="H112" s="23"/>
      <c r="I112" s="24">
        <v>44318</v>
      </c>
      <c r="J112" s="23">
        <v>7495.8540999999996</v>
      </c>
      <c r="K112" s="23">
        <v>6840.5309999999999</v>
      </c>
      <c r="L112" s="23">
        <v>3.5290059999999998E-2</v>
      </c>
      <c r="P112">
        <v>82</v>
      </c>
      <c r="Q112">
        <v>-1.2179410836579868E-2</v>
      </c>
      <c r="R112">
        <v>3.9856376836579867E-2</v>
      </c>
      <c r="S112">
        <v>1.1093564709121024</v>
      </c>
    </row>
    <row r="113" spans="1:19">
      <c r="A113" s="24">
        <v>44532</v>
      </c>
      <c r="B113" s="23">
        <v>58.465200000000003</v>
      </c>
      <c r="C113" s="23">
        <v>50.89</v>
      </c>
      <c r="D113" s="23">
        <v>-3.9134579999999999E-3</v>
      </c>
      <c r="E113" s="23"/>
      <c r="F113" s="23"/>
      <c r="G113" s="23"/>
      <c r="H113" s="23"/>
      <c r="I113" s="24">
        <v>44532</v>
      </c>
      <c r="J113" s="23">
        <v>7460.3182999999999</v>
      </c>
      <c r="K113" s="23">
        <v>6806.741</v>
      </c>
      <c r="L113" s="23">
        <v>-4.7407270000000001E-3</v>
      </c>
      <c r="P113">
        <v>83</v>
      </c>
      <c r="Q113">
        <v>1.9386907051772373E-2</v>
      </c>
      <c r="R113">
        <v>-1.9605672051772372E-2</v>
      </c>
      <c r="S113">
        <v>-0.54570136283066639</v>
      </c>
    </row>
    <row r="114" spans="1:19">
      <c r="A114" s="23" t="s">
        <v>179</v>
      </c>
      <c r="B114" s="23">
        <v>57.121000000000002</v>
      </c>
      <c r="C114" s="23">
        <v>49.72</v>
      </c>
      <c r="D114" s="23">
        <v>-2.2991455000000001E-2</v>
      </c>
      <c r="E114" s="23"/>
      <c r="F114" s="23"/>
      <c r="G114" s="23"/>
      <c r="H114" s="23"/>
      <c r="I114" s="23" t="s">
        <v>179</v>
      </c>
      <c r="J114" s="23">
        <v>7468.5009</v>
      </c>
      <c r="K114" s="23">
        <v>6793.7929999999997</v>
      </c>
      <c r="L114" s="23">
        <v>1.096816E-3</v>
      </c>
      <c r="P114">
        <v>84</v>
      </c>
      <c r="Q114">
        <v>2.6439045464356596E-2</v>
      </c>
      <c r="R114">
        <v>1.01359805356434E-2</v>
      </c>
      <c r="S114">
        <v>0.28212337620049516</v>
      </c>
    </row>
    <row r="115" spans="1:19">
      <c r="A115" s="23" t="s">
        <v>180</v>
      </c>
      <c r="B115" s="23">
        <v>52.687100000000001</v>
      </c>
      <c r="C115" s="23">
        <v>43.41</v>
      </c>
      <c r="D115" s="23">
        <v>-7.7622941000000001E-2</v>
      </c>
      <c r="E115" s="23"/>
      <c r="F115" s="23"/>
      <c r="G115" s="23"/>
      <c r="H115" s="23"/>
      <c r="I115" s="23" t="s">
        <v>180</v>
      </c>
      <c r="J115" s="23">
        <v>7355.2932000000001</v>
      </c>
      <c r="K115" s="23">
        <v>6673.268</v>
      </c>
      <c r="L115" s="23">
        <v>-1.5158022E-2</v>
      </c>
      <c r="P115">
        <v>85</v>
      </c>
      <c r="Q115">
        <v>4.2108367106899244E-3</v>
      </c>
      <c r="R115">
        <v>7.2061420289310077E-2</v>
      </c>
      <c r="S115">
        <v>2.0057468652718287</v>
      </c>
    </row>
    <row r="116" spans="1:19">
      <c r="A116" s="24">
        <v>44319</v>
      </c>
      <c r="B116" s="23">
        <v>55.017499999999998</v>
      </c>
      <c r="C116" s="23">
        <v>45.33</v>
      </c>
      <c r="D116" s="23">
        <v>4.4230941000000003E-2</v>
      </c>
      <c r="E116" s="23"/>
      <c r="F116" s="23"/>
      <c r="G116" s="23"/>
      <c r="H116" s="23"/>
      <c r="I116" s="24">
        <v>44319</v>
      </c>
      <c r="J116" s="23">
        <v>7455.9022000000004</v>
      </c>
      <c r="K116" s="23">
        <v>6710.8459999999995</v>
      </c>
      <c r="L116" s="23">
        <v>1.3678449000000001E-2</v>
      </c>
      <c r="P116">
        <v>86</v>
      </c>
      <c r="Q116">
        <v>2.0011636448235303E-3</v>
      </c>
      <c r="R116">
        <v>2.7266437355176469E-2</v>
      </c>
      <c r="S116">
        <v>0.758929966030503</v>
      </c>
    </row>
    <row r="117" spans="1:19">
      <c r="A117" s="24">
        <v>44533</v>
      </c>
      <c r="B117" s="23">
        <v>59.071300000000001</v>
      </c>
      <c r="C117" s="23">
        <v>48.67</v>
      </c>
      <c r="D117" s="23">
        <v>7.3682010000000006E-2</v>
      </c>
      <c r="E117" s="23"/>
      <c r="F117" s="23"/>
      <c r="G117" s="23"/>
      <c r="H117" s="23"/>
      <c r="I117" s="24">
        <v>44533</v>
      </c>
      <c r="J117" s="23">
        <v>7522.8990000000003</v>
      </c>
      <c r="K117" s="23">
        <v>6766.8109999999997</v>
      </c>
      <c r="L117" s="23">
        <v>8.9857400000000007E-3</v>
      </c>
      <c r="P117">
        <v>87</v>
      </c>
      <c r="Q117">
        <v>-1.6391305851718503E-2</v>
      </c>
      <c r="R117">
        <v>-1.0584265148281497E-2</v>
      </c>
      <c r="S117">
        <v>-0.29460086350144754</v>
      </c>
    </row>
    <row r="118" spans="1:19">
      <c r="A118" s="23" t="s">
        <v>181</v>
      </c>
      <c r="B118" s="23">
        <v>63.125</v>
      </c>
      <c r="C118" s="23">
        <v>52.01</v>
      </c>
      <c r="D118" s="23">
        <v>6.8623849000000001E-2</v>
      </c>
      <c r="E118" s="23"/>
      <c r="F118" s="23"/>
      <c r="G118" s="23"/>
      <c r="H118" s="23"/>
      <c r="I118" s="23" t="s">
        <v>181</v>
      </c>
      <c r="J118" s="23">
        <v>7458.7996999999996</v>
      </c>
      <c r="K118" s="23">
        <v>6708.2219999999998</v>
      </c>
      <c r="L118" s="23">
        <v>-8.5205579999999993E-3</v>
      </c>
      <c r="P118">
        <v>88</v>
      </c>
      <c r="Q118">
        <v>-5.5434955476515516E-3</v>
      </c>
      <c r="R118">
        <v>-5.3314799452348446E-2</v>
      </c>
      <c r="S118">
        <v>-1.483956206314289</v>
      </c>
    </row>
    <row r="119" spans="1:19">
      <c r="A119" s="23" t="s">
        <v>182</v>
      </c>
      <c r="B119" s="23">
        <v>65.491799999999998</v>
      </c>
      <c r="C119" s="23">
        <v>53.96</v>
      </c>
      <c r="D119" s="23">
        <v>3.7493861000000003E-2</v>
      </c>
      <c r="E119" s="23"/>
      <c r="F119" s="23"/>
      <c r="G119" s="23"/>
      <c r="H119" s="23"/>
      <c r="I119" s="23" t="s">
        <v>182</v>
      </c>
      <c r="J119" s="23">
        <v>7589.0119000000004</v>
      </c>
      <c r="K119" s="23">
        <v>6824.2290000000003</v>
      </c>
      <c r="L119" s="23">
        <v>1.7457527E-2</v>
      </c>
      <c r="P119">
        <v>89</v>
      </c>
      <c r="Q119">
        <v>5.9723032220701747E-3</v>
      </c>
      <c r="R119">
        <v>-1.702816222070175E-3</v>
      </c>
      <c r="S119">
        <v>-4.7395933716531682E-2</v>
      </c>
    </row>
    <row r="120" spans="1:19">
      <c r="A120" s="24">
        <v>44231</v>
      </c>
      <c r="B120" s="23">
        <v>61.911299999999997</v>
      </c>
      <c r="C120" s="23">
        <v>51.01</v>
      </c>
      <c r="D120" s="23">
        <v>-5.4670966000000001E-2</v>
      </c>
      <c r="E120" s="23"/>
      <c r="F120" s="23"/>
      <c r="G120" s="23"/>
      <c r="H120" s="23"/>
      <c r="I120" s="24">
        <v>44231</v>
      </c>
      <c r="J120" s="23">
        <v>7595.9526999999998</v>
      </c>
      <c r="K120" s="23">
        <v>6828.6940000000004</v>
      </c>
      <c r="L120" s="23">
        <v>9.1458499999999999E-4</v>
      </c>
      <c r="P120">
        <v>90</v>
      </c>
      <c r="Q120">
        <v>2.3199916561970998E-2</v>
      </c>
      <c r="R120">
        <v>-1.1724270561970998E-2</v>
      </c>
      <c r="S120">
        <v>-0.32633160480130824</v>
      </c>
    </row>
    <row r="121" spans="1:19">
      <c r="A121" s="24">
        <v>44443</v>
      </c>
      <c r="B121" s="23">
        <v>63.392099999999999</v>
      </c>
      <c r="C121" s="23">
        <v>52.23</v>
      </c>
      <c r="D121" s="23">
        <v>2.3918089E-2</v>
      </c>
      <c r="E121" s="23"/>
      <c r="F121" s="23"/>
      <c r="G121" s="23"/>
      <c r="H121" s="23"/>
      <c r="I121" s="24">
        <v>44443</v>
      </c>
      <c r="J121" s="23">
        <v>7781.4155000000001</v>
      </c>
      <c r="K121" s="23">
        <v>6995.174</v>
      </c>
      <c r="L121" s="23">
        <v>2.4416001999999999E-2</v>
      </c>
      <c r="P121">
        <v>91</v>
      </c>
      <c r="Q121">
        <v>-2.6062743452118273E-2</v>
      </c>
      <c r="R121">
        <v>-2.9346395478817289E-3</v>
      </c>
      <c r="S121">
        <v>-8.1682321139869243E-2</v>
      </c>
    </row>
    <row r="122" spans="1:19">
      <c r="A122" s="23" t="s">
        <v>183</v>
      </c>
      <c r="B122" s="23">
        <v>63.027999999999999</v>
      </c>
      <c r="C122" s="23">
        <v>51.93</v>
      </c>
      <c r="D122" s="23">
        <v>-5.7436179999999998E-3</v>
      </c>
      <c r="E122" s="23"/>
      <c r="F122" s="23"/>
      <c r="G122" s="23"/>
      <c r="H122" s="23"/>
      <c r="I122" s="23" t="s">
        <v>183</v>
      </c>
      <c r="J122" s="23">
        <v>7857.9811</v>
      </c>
      <c r="K122" s="23">
        <v>7063.4539999999997</v>
      </c>
      <c r="L122" s="23">
        <v>9.8395470000000006E-3</v>
      </c>
      <c r="P122">
        <v>92</v>
      </c>
      <c r="Q122">
        <v>6.2031209721456461E-2</v>
      </c>
      <c r="R122">
        <v>1.3277002278543538E-2</v>
      </c>
      <c r="S122">
        <v>0.3695501086917391</v>
      </c>
    </row>
    <row r="123" spans="1:19">
      <c r="A123" s="23" t="s">
        <v>184</v>
      </c>
      <c r="B123" s="23">
        <v>60.855400000000003</v>
      </c>
      <c r="C123" s="23">
        <v>50.14</v>
      </c>
      <c r="D123" s="23">
        <v>-3.4470394000000001E-2</v>
      </c>
      <c r="E123" s="23"/>
      <c r="F123" s="23"/>
      <c r="G123" s="23"/>
      <c r="H123" s="23"/>
      <c r="I123" s="23" t="s">
        <v>184</v>
      </c>
      <c r="J123" s="23">
        <v>7855.11</v>
      </c>
      <c r="K123" s="23">
        <v>7060.7070000000003</v>
      </c>
      <c r="L123" s="23">
        <v>-3.6537400000000002E-4</v>
      </c>
      <c r="P123">
        <v>93</v>
      </c>
      <c r="Q123">
        <v>1.7837028886033411E-2</v>
      </c>
      <c r="R123">
        <v>3.2274644113966591E-2</v>
      </c>
      <c r="S123">
        <v>0.89832764882314464</v>
      </c>
    </row>
    <row r="124" spans="1:19">
      <c r="A124" s="23" t="s">
        <v>185</v>
      </c>
      <c r="B124" s="23">
        <v>56.170499999999997</v>
      </c>
      <c r="C124" s="23">
        <v>46.28</v>
      </c>
      <c r="D124" s="23">
        <v>-7.6984129999999998E-2</v>
      </c>
      <c r="E124" s="23"/>
      <c r="F124" s="23"/>
      <c r="G124" s="23"/>
      <c r="H124" s="23"/>
      <c r="I124" s="23" t="s">
        <v>185</v>
      </c>
      <c r="J124" s="23">
        <v>7816.2945</v>
      </c>
      <c r="K124" s="23">
        <v>7025.817</v>
      </c>
      <c r="L124" s="23">
        <v>-4.9414330000000003E-3</v>
      </c>
      <c r="P124">
        <v>94</v>
      </c>
      <c r="Q124">
        <v>3.1121932488168552E-3</v>
      </c>
      <c r="R124">
        <v>-2.8984961248816856E-2</v>
      </c>
      <c r="S124">
        <v>-0.80676310474363599</v>
      </c>
    </row>
    <row r="125" spans="1:19">
      <c r="A125" s="24">
        <v>44382</v>
      </c>
      <c r="B125" s="23">
        <v>56.838000000000001</v>
      </c>
      <c r="C125" s="23">
        <v>46.83</v>
      </c>
      <c r="D125" s="23">
        <v>1.1883461999999999E-2</v>
      </c>
      <c r="E125" s="23"/>
      <c r="F125" s="23"/>
      <c r="G125" s="23"/>
      <c r="H125" s="23"/>
      <c r="I125" s="24">
        <v>44382</v>
      </c>
      <c r="J125" s="23">
        <v>7878.1090000000004</v>
      </c>
      <c r="K125" s="23">
        <v>7080.8280000000004</v>
      </c>
      <c r="L125" s="23">
        <v>7.9084150000000002E-3</v>
      </c>
      <c r="P125">
        <v>95</v>
      </c>
      <c r="Q125">
        <v>-3.6538373442084542E-2</v>
      </c>
      <c r="R125">
        <v>-3.0351252557915452E-2</v>
      </c>
      <c r="S125">
        <v>-0.84479225403420555</v>
      </c>
    </row>
    <row r="126" spans="1:19">
      <c r="A126" s="23" t="s">
        <v>186</v>
      </c>
      <c r="B126" s="23">
        <v>57.359900000000003</v>
      </c>
      <c r="C126" s="23">
        <v>47.26</v>
      </c>
      <c r="D126" s="23">
        <v>9.1822369999999993E-3</v>
      </c>
      <c r="E126" s="23"/>
      <c r="F126" s="23"/>
      <c r="G126" s="23"/>
      <c r="H126" s="23"/>
      <c r="I126" s="23" t="s">
        <v>186</v>
      </c>
      <c r="J126" s="23">
        <v>7838.8359</v>
      </c>
      <c r="K126" s="23">
        <v>7014.241</v>
      </c>
      <c r="L126" s="23">
        <v>-4.985092E-3</v>
      </c>
      <c r="P126">
        <v>96</v>
      </c>
      <c r="Q126">
        <v>5.204532249033321E-2</v>
      </c>
      <c r="R126">
        <v>-2.4214578490333209E-2</v>
      </c>
      <c r="S126">
        <v>-0.67398497983905725</v>
      </c>
    </row>
    <row r="127" spans="1:19">
      <c r="A127" s="23" t="s">
        <v>187</v>
      </c>
      <c r="B127" s="23">
        <v>57.590499999999999</v>
      </c>
      <c r="C127" s="23">
        <v>47.45</v>
      </c>
      <c r="D127" s="23">
        <v>4.0202299999999996E-3</v>
      </c>
      <c r="E127" s="23"/>
      <c r="F127" s="23"/>
      <c r="G127" s="23"/>
      <c r="H127" s="23"/>
      <c r="I127" s="23" t="s">
        <v>187</v>
      </c>
      <c r="J127" s="23">
        <v>7862.4748</v>
      </c>
      <c r="K127" s="23">
        <v>7030.2550000000001</v>
      </c>
      <c r="L127" s="23">
        <v>3.0156139999999998E-3</v>
      </c>
      <c r="P127">
        <v>97</v>
      </c>
      <c r="Q127">
        <v>4.4530068810306037E-2</v>
      </c>
      <c r="R127">
        <v>-0.10483724681030604</v>
      </c>
      <c r="S127">
        <v>-2.9180243507453296</v>
      </c>
    </row>
    <row r="128" spans="1:19">
      <c r="A128" s="23" t="s">
        <v>188</v>
      </c>
      <c r="B128" s="23">
        <v>58.464399999999998</v>
      </c>
      <c r="C128" s="23">
        <v>48.17</v>
      </c>
      <c r="D128" s="23">
        <v>1.5174378000000001E-2</v>
      </c>
      <c r="E128" s="23"/>
      <c r="F128" s="23"/>
      <c r="G128" s="23"/>
      <c r="H128" s="23"/>
      <c r="I128" s="23" t="s">
        <v>188</v>
      </c>
      <c r="J128" s="23">
        <v>8030.9791999999998</v>
      </c>
      <c r="K128" s="23">
        <v>7179.5079999999998</v>
      </c>
      <c r="L128" s="23">
        <v>2.1431471000000001E-2</v>
      </c>
      <c r="P128">
        <v>98</v>
      </c>
      <c r="Q128">
        <v>2.747424680187821E-2</v>
      </c>
      <c r="R128">
        <v>-2.2891221801878209E-2</v>
      </c>
      <c r="S128">
        <v>-0.63715086640015139</v>
      </c>
    </row>
    <row r="129" spans="1:19">
      <c r="A129" s="24">
        <v>44292</v>
      </c>
      <c r="B129" s="23">
        <v>58.755699999999997</v>
      </c>
      <c r="C129" s="23">
        <v>48.41</v>
      </c>
      <c r="D129" s="23">
        <v>4.9825190000000004E-3</v>
      </c>
      <c r="E129" s="23"/>
      <c r="F129" s="23"/>
      <c r="G129" s="23"/>
      <c r="H129" s="23"/>
      <c r="I129" s="24">
        <v>44292</v>
      </c>
      <c r="J129" s="23">
        <v>8160.8730999999998</v>
      </c>
      <c r="K129" s="23">
        <v>7295.3519999999999</v>
      </c>
      <c r="L129" s="23">
        <v>1.6174105000000001E-2</v>
      </c>
      <c r="P129">
        <v>99</v>
      </c>
      <c r="Q129">
        <v>1.5011303575596525E-2</v>
      </c>
      <c r="R129">
        <v>-1.4576275575596525E-2</v>
      </c>
      <c r="S129">
        <v>-0.40571388859273017</v>
      </c>
    </row>
    <row r="130" spans="1:19">
      <c r="A130" s="24">
        <v>44506</v>
      </c>
      <c r="B130" s="23">
        <v>57.784700000000001</v>
      </c>
      <c r="C130" s="23">
        <v>47.61</v>
      </c>
      <c r="D130" s="23">
        <v>-1.6526056000000001E-2</v>
      </c>
      <c r="E130" s="23"/>
      <c r="F130" s="23"/>
      <c r="G130" s="23"/>
      <c r="H130" s="23"/>
      <c r="I130" s="24">
        <v>44506</v>
      </c>
      <c r="J130" s="23">
        <v>8180.4219999999996</v>
      </c>
      <c r="K130" s="23">
        <v>7312.3329999999996</v>
      </c>
      <c r="L130" s="23">
        <v>2.3954419999999998E-3</v>
      </c>
      <c r="P130">
        <v>100</v>
      </c>
      <c r="Q130">
        <v>1.0282656199273769E-2</v>
      </c>
      <c r="R130">
        <v>-3.2871571199273766E-2</v>
      </c>
      <c r="S130">
        <v>-0.91494242862270858</v>
      </c>
    </row>
    <row r="131" spans="1:19">
      <c r="A131" s="23" t="s">
        <v>189</v>
      </c>
      <c r="B131" s="23">
        <v>59.071300000000001</v>
      </c>
      <c r="C131" s="23">
        <v>48.67</v>
      </c>
      <c r="D131" s="23">
        <v>2.2265409E-2</v>
      </c>
      <c r="E131" s="23"/>
      <c r="F131" s="23"/>
      <c r="G131" s="23"/>
      <c r="H131" s="23"/>
      <c r="I131" s="23" t="s">
        <v>189</v>
      </c>
      <c r="J131" s="23">
        <v>8243.6494999999995</v>
      </c>
      <c r="K131" s="23">
        <v>7368.8509999999997</v>
      </c>
      <c r="L131" s="23">
        <v>7.7291240000000004E-3</v>
      </c>
      <c r="P131">
        <v>101</v>
      </c>
      <c r="Q131">
        <v>6.1704144403137949E-3</v>
      </c>
      <c r="R131">
        <v>-2.7948651440313794E-2</v>
      </c>
      <c r="S131">
        <v>-0.77791861151118979</v>
      </c>
    </row>
    <row r="132" spans="1:19">
      <c r="A132" s="23" t="s">
        <v>190</v>
      </c>
      <c r="B132" s="23">
        <v>59.544600000000003</v>
      </c>
      <c r="C132" s="23">
        <v>49.06</v>
      </c>
      <c r="D132" s="23">
        <v>8.0123509999999992E-3</v>
      </c>
      <c r="E132" s="23"/>
      <c r="F132" s="23"/>
      <c r="G132" s="23"/>
      <c r="H132" s="23"/>
      <c r="I132" s="23" t="s">
        <v>190</v>
      </c>
      <c r="J132" s="23">
        <v>8175.9623000000001</v>
      </c>
      <c r="K132" s="23">
        <v>7308.0450000000001</v>
      </c>
      <c r="L132" s="23">
        <v>-8.2108289999999994E-3</v>
      </c>
      <c r="P132">
        <v>102</v>
      </c>
      <c r="Q132">
        <v>1.0061270273653366E-2</v>
      </c>
      <c r="R132">
        <v>8.0353480726346641E-2</v>
      </c>
      <c r="S132">
        <v>2.2365468434218276</v>
      </c>
    </row>
    <row r="133" spans="1:19">
      <c r="A133" s="24">
        <v>44234</v>
      </c>
      <c r="B133" s="23">
        <v>61.085999999999999</v>
      </c>
      <c r="C133" s="23">
        <v>50.33</v>
      </c>
      <c r="D133" s="23">
        <v>2.5886478000000001E-2</v>
      </c>
      <c r="E133" s="23"/>
      <c r="F133" s="23"/>
      <c r="G133" s="23"/>
      <c r="H133" s="23"/>
      <c r="I133" s="24">
        <v>44234</v>
      </c>
      <c r="J133" s="23">
        <v>8188.1301999999996</v>
      </c>
      <c r="K133" s="23">
        <v>7308.5540000000001</v>
      </c>
      <c r="L133" s="23">
        <v>1.4882529999999999E-3</v>
      </c>
      <c r="P133">
        <v>103</v>
      </c>
      <c r="Q133">
        <v>3.1536421743515275E-3</v>
      </c>
      <c r="R133">
        <v>3.5124198256484729E-3</v>
      </c>
      <c r="S133">
        <v>9.7764171543231984E-2</v>
      </c>
    </row>
    <row r="134" spans="1:19">
      <c r="A134" s="24">
        <v>44446</v>
      </c>
      <c r="B134" s="23">
        <v>57.517699999999998</v>
      </c>
      <c r="C134" s="23">
        <v>47.39</v>
      </c>
      <c r="D134" s="23">
        <v>-5.8414367000000002E-2</v>
      </c>
      <c r="E134" s="23"/>
      <c r="F134" s="23"/>
      <c r="G134" s="23"/>
      <c r="H134" s="23"/>
      <c r="I134" s="24">
        <v>44446</v>
      </c>
      <c r="J134" s="23">
        <v>8149.2430000000004</v>
      </c>
      <c r="K134" s="23">
        <v>7273.2950000000001</v>
      </c>
      <c r="L134" s="23">
        <v>-4.7492159999999997E-3</v>
      </c>
      <c r="P134">
        <v>104</v>
      </c>
      <c r="Q134">
        <v>-6.2343361634585939E-3</v>
      </c>
      <c r="R134">
        <v>1.2443737163458594E-2</v>
      </c>
      <c r="S134">
        <v>0.34635713128701912</v>
      </c>
    </row>
    <row r="135" spans="1:19">
      <c r="A135" s="23" t="s">
        <v>191</v>
      </c>
      <c r="B135" s="23">
        <v>58.233800000000002</v>
      </c>
      <c r="C135" s="23">
        <v>47.98</v>
      </c>
      <c r="D135" s="23">
        <v>1.2450081E-2</v>
      </c>
      <c r="E135" s="23"/>
      <c r="F135" s="23"/>
      <c r="G135" s="23"/>
      <c r="H135" s="23"/>
      <c r="I135" s="23" t="s">
        <v>191</v>
      </c>
      <c r="J135" s="23">
        <v>8233.0828000000001</v>
      </c>
      <c r="K135" s="23">
        <v>7348.1229999999996</v>
      </c>
      <c r="L135" s="23">
        <v>1.0288047999999999E-2</v>
      </c>
      <c r="P135">
        <v>105</v>
      </c>
      <c r="Q135">
        <v>3.2416295155966585E-2</v>
      </c>
      <c r="R135">
        <v>-7.7355461559665863E-3</v>
      </c>
      <c r="S135">
        <v>-0.21531004233894033</v>
      </c>
    </row>
    <row r="136" spans="1:19">
      <c r="A136" s="23" t="s">
        <v>192</v>
      </c>
      <c r="B136" s="23">
        <v>60.928199999999997</v>
      </c>
      <c r="C136" s="23">
        <v>50.2</v>
      </c>
      <c r="D136" s="23">
        <v>4.6268662000000002E-2</v>
      </c>
      <c r="E136" s="23"/>
      <c r="F136" s="23"/>
      <c r="G136" s="23"/>
      <c r="H136" s="23"/>
      <c r="I136" s="23" t="s">
        <v>192</v>
      </c>
      <c r="J136" s="23">
        <v>8284.8793000000005</v>
      </c>
      <c r="K136" s="23">
        <v>7394.3519999999999</v>
      </c>
      <c r="L136" s="23">
        <v>6.2912640000000004E-3</v>
      </c>
      <c r="P136">
        <v>106</v>
      </c>
      <c r="Q136">
        <v>-1.8735360270273962E-3</v>
      </c>
      <c r="R136">
        <v>2.0941988027027396E-2</v>
      </c>
      <c r="S136">
        <v>0.58289618313284186</v>
      </c>
    </row>
    <row r="137" spans="1:19">
      <c r="A137" s="23" t="s">
        <v>193</v>
      </c>
      <c r="B137" s="23">
        <v>58.306600000000003</v>
      </c>
      <c r="C137" s="23">
        <v>48.04</v>
      </c>
      <c r="D137" s="23">
        <v>-4.3027694999999998E-2</v>
      </c>
      <c r="E137" s="23"/>
      <c r="F137" s="23"/>
      <c r="G137" s="23"/>
      <c r="H137" s="23"/>
      <c r="I137" s="23" t="s">
        <v>193</v>
      </c>
      <c r="J137" s="23">
        <v>8282.9431999999997</v>
      </c>
      <c r="K137" s="23">
        <v>7392.6239999999998</v>
      </c>
      <c r="L137" s="23">
        <v>-2.3369100000000001E-4</v>
      </c>
      <c r="P137">
        <v>107</v>
      </c>
      <c r="Q137">
        <v>1.8253230722171707E-2</v>
      </c>
      <c r="R137">
        <v>-1.3526455722171708E-2</v>
      </c>
      <c r="S137">
        <v>-0.37649335877728707</v>
      </c>
    </row>
    <row r="138" spans="1:19">
      <c r="A138" s="24">
        <v>44355</v>
      </c>
      <c r="B138" s="23">
        <v>59.326099999999997</v>
      </c>
      <c r="C138" s="23">
        <v>48.88</v>
      </c>
      <c r="D138" s="23">
        <v>1.7485156000000002E-2</v>
      </c>
      <c r="E138" s="23"/>
      <c r="F138" s="23"/>
      <c r="G138" s="23"/>
      <c r="H138" s="23"/>
      <c r="I138" s="24">
        <v>44355</v>
      </c>
      <c r="J138" s="23">
        <v>8446.3510999999999</v>
      </c>
      <c r="K138" s="23">
        <v>7538.4160000000002</v>
      </c>
      <c r="L138" s="23">
        <v>1.9728241000000001E-2</v>
      </c>
      <c r="P138">
        <v>108</v>
      </c>
      <c r="Q138">
        <v>-2.5417835977430046E-2</v>
      </c>
      <c r="R138">
        <v>4.0318096977430044E-2</v>
      </c>
      <c r="S138">
        <v>1.1222079207090263</v>
      </c>
    </row>
    <row r="139" spans="1:19">
      <c r="A139" s="23" t="s">
        <v>194</v>
      </c>
      <c r="B139" s="23">
        <v>58.646500000000003</v>
      </c>
      <c r="C139" s="23">
        <v>48.32</v>
      </c>
      <c r="D139" s="23">
        <v>-1.1455329E-2</v>
      </c>
      <c r="E139" s="23"/>
      <c r="F139" s="23"/>
      <c r="G139" s="23"/>
      <c r="H139" s="23"/>
      <c r="I139" s="23" t="s">
        <v>194</v>
      </c>
      <c r="J139" s="23">
        <v>8563.0208000000002</v>
      </c>
      <c r="K139" s="23">
        <v>7628.9229999999998</v>
      </c>
      <c r="L139" s="23">
        <v>1.381303E-2</v>
      </c>
      <c r="P139">
        <v>109</v>
      </c>
      <c r="Q139">
        <v>4.2353331791682845E-2</v>
      </c>
      <c r="R139">
        <v>-5.5489678791682845E-2</v>
      </c>
      <c r="S139">
        <v>-1.5444914746964686</v>
      </c>
    </row>
    <row r="140" spans="1:19">
      <c r="A140" s="23" t="s">
        <v>195</v>
      </c>
      <c r="B140" s="23">
        <v>58.828499999999998</v>
      </c>
      <c r="C140" s="23">
        <v>48.47</v>
      </c>
      <c r="D140" s="23">
        <v>3.10334E-3</v>
      </c>
      <c r="E140" s="23"/>
      <c r="F140" s="23"/>
      <c r="G140" s="23"/>
      <c r="H140" s="23"/>
      <c r="I140" s="23" t="s">
        <v>195</v>
      </c>
      <c r="J140" s="23">
        <v>8401.6036999999997</v>
      </c>
      <c r="K140" s="23">
        <v>7460.8720000000003</v>
      </c>
      <c r="L140" s="23">
        <v>-1.8850486E-2</v>
      </c>
      <c r="P140">
        <v>110</v>
      </c>
      <c r="Q140">
        <v>-2.5447236468632839E-4</v>
      </c>
      <c r="R140">
        <v>-3.6589856353136715E-3</v>
      </c>
      <c r="S140">
        <v>-0.10184366251234918</v>
      </c>
    </row>
    <row r="141" spans="1:19">
      <c r="A141" s="23" t="s">
        <v>196</v>
      </c>
      <c r="B141" s="23">
        <v>57.144300000000001</v>
      </c>
      <c r="C141" s="23">
        <v>45.57</v>
      </c>
      <c r="D141" s="23">
        <v>-2.8628981000000001E-2</v>
      </c>
      <c r="E141" s="23"/>
      <c r="F141" s="23"/>
      <c r="G141" s="23"/>
      <c r="H141" s="23"/>
      <c r="I141" s="23" t="s">
        <v>196</v>
      </c>
      <c r="J141" s="23">
        <v>8448.0944</v>
      </c>
      <c r="K141" s="23">
        <v>7488.2860000000001</v>
      </c>
      <c r="L141" s="23">
        <v>5.5335510000000003E-3</v>
      </c>
      <c r="P141">
        <v>111</v>
      </c>
      <c r="Q141">
        <v>5.9588676053318416E-3</v>
      </c>
      <c r="R141">
        <v>-2.8950322605331841E-2</v>
      </c>
      <c r="S141">
        <v>-0.80579897788756782</v>
      </c>
    </row>
    <row r="142" spans="1:19">
      <c r="A142" s="24">
        <v>44264</v>
      </c>
      <c r="B142" s="23">
        <v>56.5047</v>
      </c>
      <c r="C142" s="23">
        <v>45.06</v>
      </c>
      <c r="D142" s="23">
        <v>-1.1192717E-2</v>
      </c>
      <c r="E142" s="23"/>
      <c r="F142" s="23"/>
      <c r="G142" s="23"/>
      <c r="H142" s="23"/>
      <c r="I142" s="24">
        <v>44264</v>
      </c>
      <c r="J142" s="23">
        <v>8555.2448999999997</v>
      </c>
      <c r="K142" s="23">
        <v>7522.91</v>
      </c>
      <c r="L142" s="23">
        <v>1.2683392999999999E-2</v>
      </c>
      <c r="P142">
        <v>112</v>
      </c>
      <c r="Q142">
        <v>-1.1342389901734097E-2</v>
      </c>
      <c r="R142">
        <v>-6.6280551098265902E-2</v>
      </c>
      <c r="S142">
        <v>-1.8448430111438885</v>
      </c>
    </row>
    <row r="143" spans="1:19">
      <c r="A143" s="24">
        <v>44478</v>
      </c>
      <c r="B143" s="23">
        <v>56.316600000000001</v>
      </c>
      <c r="C143" s="23">
        <v>44.91</v>
      </c>
      <c r="D143" s="23">
        <v>-3.3289270000000002E-3</v>
      </c>
      <c r="E143" s="23"/>
      <c r="F143" s="23"/>
      <c r="G143" s="23"/>
      <c r="H143" s="23"/>
      <c r="I143" s="24">
        <v>44478</v>
      </c>
      <c r="J143" s="23">
        <v>8455.6095000000005</v>
      </c>
      <c r="K143" s="23">
        <v>7406.6270000000004</v>
      </c>
      <c r="L143" s="23">
        <v>-1.1646119E-2</v>
      </c>
      <c r="P143">
        <v>113</v>
      </c>
      <c r="Q143">
        <v>1.9350454306620316E-2</v>
      </c>
      <c r="R143">
        <v>2.4880486693379687E-2</v>
      </c>
      <c r="S143">
        <v>0.69251976982039498</v>
      </c>
    </row>
    <row r="144" spans="1:19">
      <c r="A144" s="23" t="s">
        <v>197</v>
      </c>
      <c r="B144" s="23">
        <v>57.231999999999999</v>
      </c>
      <c r="C144" s="23">
        <v>45.64</v>
      </c>
      <c r="D144" s="23">
        <v>1.6254531999999999E-2</v>
      </c>
      <c r="E144" s="23"/>
      <c r="F144" s="23"/>
      <c r="G144" s="23"/>
      <c r="H144" s="23"/>
      <c r="I144" s="23" t="s">
        <v>197</v>
      </c>
      <c r="J144" s="23">
        <v>8454.5580000000009</v>
      </c>
      <c r="K144" s="23">
        <v>7403.7219999999998</v>
      </c>
      <c r="L144" s="23">
        <v>-1.2435500000000001E-4</v>
      </c>
      <c r="P144">
        <v>114</v>
      </c>
      <c r="Q144">
        <v>1.4355648033267984E-2</v>
      </c>
      <c r="R144">
        <v>5.9326361966732022E-2</v>
      </c>
      <c r="S144">
        <v>1.6512811441270838</v>
      </c>
    </row>
    <row r="145" spans="1:19">
      <c r="A145" s="23" t="s">
        <v>198</v>
      </c>
      <c r="B145" s="23">
        <v>55.940399999999997</v>
      </c>
      <c r="C145" s="23">
        <v>44.61</v>
      </c>
      <c r="D145" s="23">
        <v>-2.2567793999999999E-2</v>
      </c>
      <c r="E145" s="23"/>
      <c r="F145" s="23"/>
      <c r="G145" s="23"/>
      <c r="H145" s="23"/>
      <c r="I145" s="23" t="s">
        <v>198</v>
      </c>
      <c r="J145" s="23">
        <v>8386.4627</v>
      </c>
      <c r="K145" s="23">
        <v>7342.6229999999996</v>
      </c>
      <c r="L145" s="23">
        <v>-8.054271E-3</v>
      </c>
      <c r="P145">
        <v>115</v>
      </c>
      <c r="Q145">
        <v>-4.2776333130876924E-3</v>
      </c>
      <c r="R145">
        <v>7.2901482313087698E-2</v>
      </c>
      <c r="S145">
        <v>2.0291290268231994</v>
      </c>
    </row>
    <row r="146" spans="1:19">
      <c r="A146" s="24">
        <v>44206</v>
      </c>
      <c r="B146" s="23">
        <v>56.768099999999997</v>
      </c>
      <c r="C146" s="23">
        <v>45.27</v>
      </c>
      <c r="D146" s="23">
        <v>1.4796103999999999E-2</v>
      </c>
      <c r="E146" s="23"/>
      <c r="F146" s="23"/>
      <c r="G146" s="23"/>
      <c r="H146" s="23"/>
      <c r="I146" s="24">
        <v>44206</v>
      </c>
      <c r="J146" s="23">
        <v>8207.5504000000001</v>
      </c>
      <c r="K146" s="23">
        <v>7185.5450000000001</v>
      </c>
      <c r="L146" s="23">
        <v>-2.1333464E-2</v>
      </c>
      <c r="P146">
        <v>116</v>
      </c>
      <c r="Q146">
        <v>2.3372813779983737E-2</v>
      </c>
      <c r="R146">
        <v>1.4121047220016267E-2</v>
      </c>
      <c r="S146">
        <v>0.39304313018244386</v>
      </c>
    </row>
    <row r="147" spans="1:19">
      <c r="A147" s="24">
        <v>44418</v>
      </c>
      <c r="B147" s="23">
        <v>59.576999999999998</v>
      </c>
      <c r="C147" s="23">
        <v>47.51</v>
      </c>
      <c r="D147" s="23">
        <v>4.9480254000000001E-2</v>
      </c>
      <c r="E147" s="23"/>
      <c r="F147" s="23"/>
      <c r="G147" s="23"/>
      <c r="H147" s="23"/>
      <c r="I147" s="24">
        <v>44418</v>
      </c>
      <c r="J147" s="23">
        <v>8361.6530000000002</v>
      </c>
      <c r="K147" s="23">
        <v>7320.0910000000003</v>
      </c>
      <c r="L147" s="23">
        <v>1.8775712E-2</v>
      </c>
      <c r="P147">
        <v>117</v>
      </c>
      <c r="Q147">
        <v>5.7649053242700352E-3</v>
      </c>
      <c r="R147">
        <v>-6.0435871324270037E-2</v>
      </c>
      <c r="S147">
        <v>-1.6821630627312023</v>
      </c>
    </row>
    <row r="148" spans="1:19">
      <c r="A148" s="23" t="s">
        <v>199</v>
      </c>
      <c r="B148" s="23">
        <v>58.761899999999997</v>
      </c>
      <c r="C148" s="23">
        <v>46.86</v>
      </c>
      <c r="D148" s="23">
        <v>-1.3681453999999999E-2</v>
      </c>
      <c r="E148" s="23"/>
      <c r="F148" s="23"/>
      <c r="G148" s="23"/>
      <c r="H148" s="23"/>
      <c r="I148" s="23" t="s">
        <v>199</v>
      </c>
      <c r="J148" s="23">
        <v>8410.2603999999992</v>
      </c>
      <c r="K148" s="23">
        <v>7361.9769999999999</v>
      </c>
      <c r="L148" s="23">
        <v>5.8131329999999998E-3</v>
      </c>
      <c r="P148">
        <v>118</v>
      </c>
      <c r="Q148">
        <v>3.0779246734374342E-2</v>
      </c>
      <c r="R148">
        <v>-6.8611577343743423E-3</v>
      </c>
      <c r="S148">
        <v>-0.19097244493109694</v>
      </c>
    </row>
    <row r="149" spans="1:19">
      <c r="A149" s="23" t="s">
        <v>200</v>
      </c>
      <c r="B149" s="23">
        <v>59.978299999999997</v>
      </c>
      <c r="C149" s="23">
        <v>47.83</v>
      </c>
      <c r="D149" s="23">
        <v>2.0700488E-2</v>
      </c>
      <c r="E149" s="23"/>
      <c r="F149" s="23"/>
      <c r="G149" s="23"/>
      <c r="H149" s="23"/>
      <c r="I149" s="23" t="s">
        <v>200</v>
      </c>
      <c r="J149" s="23">
        <v>8471.3760999999995</v>
      </c>
      <c r="K149" s="23">
        <v>7415.4750000000004</v>
      </c>
      <c r="L149" s="23">
        <v>7.2668020000000002E-3</v>
      </c>
      <c r="P149">
        <v>119</v>
      </c>
      <c r="Q149">
        <v>1.5264419610587637E-2</v>
      </c>
      <c r="R149">
        <v>-2.1008037610587636E-2</v>
      </c>
      <c r="S149">
        <v>-0.58473459742785006</v>
      </c>
    </row>
    <row r="150" spans="1:19">
      <c r="A150" s="23" t="s">
        <v>201</v>
      </c>
      <c r="B150" s="23">
        <v>63.313899999999997</v>
      </c>
      <c r="C150" s="23">
        <v>50.49</v>
      </c>
      <c r="D150" s="23">
        <v>5.5613447000000003E-2</v>
      </c>
      <c r="E150" s="23"/>
      <c r="F150" s="23"/>
      <c r="G150" s="23"/>
      <c r="H150" s="23"/>
      <c r="I150" s="23" t="s">
        <v>201</v>
      </c>
      <c r="J150" s="23">
        <v>8367.3793000000005</v>
      </c>
      <c r="K150" s="23">
        <v>7323.7370000000001</v>
      </c>
      <c r="L150" s="23">
        <v>-1.2276258E-2</v>
      </c>
      <c r="P150">
        <v>120</v>
      </c>
      <c r="Q150">
        <v>4.4025478367646781E-3</v>
      </c>
      <c r="R150">
        <v>-3.887294183676468E-2</v>
      </c>
      <c r="S150">
        <v>-1.081983687248407</v>
      </c>
    </row>
    <row r="151" spans="1:19">
      <c r="A151" s="24">
        <v>44327</v>
      </c>
      <c r="B151" s="23">
        <v>62.9251</v>
      </c>
      <c r="C151" s="23">
        <v>50.18</v>
      </c>
      <c r="D151" s="23">
        <v>-6.1408319999999997E-3</v>
      </c>
      <c r="E151" s="23"/>
      <c r="F151" s="23"/>
      <c r="G151" s="23"/>
      <c r="H151" s="23"/>
      <c r="I151" s="24">
        <v>44327</v>
      </c>
      <c r="J151" s="23">
        <v>8532.5512999999992</v>
      </c>
      <c r="K151" s="23">
        <v>7456.9359999999997</v>
      </c>
      <c r="L151" s="23">
        <v>1.9739992000000001E-2</v>
      </c>
      <c r="P151">
        <v>121</v>
      </c>
      <c r="Q151">
        <v>-4.680989901385893E-4</v>
      </c>
      <c r="R151">
        <v>-7.6516031009861402E-2</v>
      </c>
      <c r="S151">
        <v>-2.1297358381907756</v>
      </c>
    </row>
    <row r="152" spans="1:19">
      <c r="A152" s="24">
        <v>44541</v>
      </c>
      <c r="B152" s="23">
        <v>62.724499999999999</v>
      </c>
      <c r="C152" s="23">
        <v>50.02</v>
      </c>
      <c r="D152" s="23">
        <v>-3.1879170000000002E-3</v>
      </c>
      <c r="E152" s="23"/>
      <c r="F152" s="23"/>
      <c r="G152" s="23"/>
      <c r="H152" s="23"/>
      <c r="I152" s="24">
        <v>44541</v>
      </c>
      <c r="J152" s="23">
        <v>8533.5491000000002</v>
      </c>
      <c r="K152" s="23">
        <v>7443.0479999999998</v>
      </c>
      <c r="L152" s="23">
        <v>1.1694E-4</v>
      </c>
      <c r="P152">
        <v>122</v>
      </c>
      <c r="Q152">
        <v>1.3208969287912304E-2</v>
      </c>
      <c r="R152">
        <v>-1.3255072879123052E-3</v>
      </c>
      <c r="S152">
        <v>-3.6893972904659268E-2</v>
      </c>
    </row>
    <row r="153" spans="1:19">
      <c r="A153" s="23" t="s">
        <v>202</v>
      </c>
      <c r="B153" s="23">
        <v>62.2605</v>
      </c>
      <c r="C153" s="23">
        <v>49.65</v>
      </c>
      <c r="D153" s="23">
        <v>-7.3974280000000002E-3</v>
      </c>
      <c r="E153" s="23"/>
      <c r="F153" s="23"/>
      <c r="G153" s="23"/>
      <c r="H153" s="23"/>
      <c r="I153" s="23" t="s">
        <v>202</v>
      </c>
      <c r="J153" s="23">
        <v>8494.8300999999992</v>
      </c>
      <c r="K153" s="23">
        <v>7396.5450000000001</v>
      </c>
      <c r="L153" s="23">
        <v>-4.5372679999999997E-3</v>
      </c>
      <c r="P153">
        <v>123</v>
      </c>
      <c r="Q153">
        <v>-5.1456857670112433E-4</v>
      </c>
      <c r="R153">
        <v>9.6968055767011237E-3</v>
      </c>
      <c r="S153">
        <v>0.26989944564697776</v>
      </c>
    </row>
    <row r="154" spans="1:19">
      <c r="A154" s="23" t="s">
        <v>203</v>
      </c>
      <c r="B154" s="23">
        <v>59.464100000000002</v>
      </c>
      <c r="C154" s="23">
        <v>47.42</v>
      </c>
      <c r="D154" s="23">
        <v>-4.4914511999999997E-2</v>
      </c>
      <c r="E154" s="23"/>
      <c r="F154" s="23"/>
      <c r="G154" s="23"/>
      <c r="H154" s="23"/>
      <c r="I154" s="23" t="s">
        <v>203</v>
      </c>
      <c r="J154" s="23">
        <v>8361.1044999999995</v>
      </c>
      <c r="K154" s="23">
        <v>7279.3469999999998</v>
      </c>
      <c r="L154" s="23">
        <v>-1.5741998E-2</v>
      </c>
      <c r="P154">
        <v>124</v>
      </c>
      <c r="Q154">
        <v>8.0011899158982779E-3</v>
      </c>
      <c r="R154">
        <v>-3.9809599158982783E-3</v>
      </c>
      <c r="S154">
        <v>-0.11080544679842061</v>
      </c>
    </row>
    <row r="155" spans="1:19">
      <c r="A155" s="24">
        <v>44267</v>
      </c>
      <c r="B155" s="23">
        <v>59.526800000000001</v>
      </c>
      <c r="C155" s="23">
        <v>47.47</v>
      </c>
      <c r="D155" s="23">
        <v>1.0544179999999999E-3</v>
      </c>
      <c r="E155" s="23"/>
      <c r="F155" s="23"/>
      <c r="G155" s="23"/>
      <c r="H155" s="23"/>
      <c r="I155" s="24">
        <v>44267</v>
      </c>
      <c r="J155" s="23">
        <v>8319.9781000000003</v>
      </c>
      <c r="K155" s="23">
        <v>7241.1670000000004</v>
      </c>
      <c r="L155" s="23">
        <v>-4.9187759999999997E-3</v>
      </c>
      <c r="P155">
        <v>125</v>
      </c>
      <c r="Q155">
        <v>2.7602583923657865E-2</v>
      </c>
      <c r="R155">
        <v>-1.2428205923657865E-2</v>
      </c>
      <c r="S155">
        <v>-0.34592483706607496</v>
      </c>
    </row>
    <row r="156" spans="1:19">
      <c r="A156" s="24">
        <v>44481</v>
      </c>
      <c r="B156" s="23">
        <v>59.9407</v>
      </c>
      <c r="C156" s="23">
        <v>47.8</v>
      </c>
      <c r="D156" s="23">
        <v>6.9531710000000002E-3</v>
      </c>
      <c r="E156" s="23"/>
      <c r="F156" s="23"/>
      <c r="G156" s="23"/>
      <c r="H156" s="23"/>
      <c r="I156" s="24">
        <v>44481</v>
      </c>
      <c r="J156" s="23">
        <v>8449.1499000000003</v>
      </c>
      <c r="K156" s="23">
        <v>7353.5219999999999</v>
      </c>
      <c r="L156" s="23">
        <v>1.5525498E-2</v>
      </c>
      <c r="P156">
        <v>126</v>
      </c>
      <c r="Q156">
        <v>2.2006770358804544E-2</v>
      </c>
      <c r="R156">
        <v>-1.7024251358804542E-2</v>
      </c>
      <c r="S156">
        <v>-0.47385048281635533</v>
      </c>
    </row>
    <row r="157" spans="1:19">
      <c r="A157" s="23" t="s">
        <v>204</v>
      </c>
      <c r="B157" s="23">
        <v>59.752600000000001</v>
      </c>
      <c r="C157" s="23">
        <v>47.65</v>
      </c>
      <c r="D157" s="23">
        <v>-3.1381009999999999E-3</v>
      </c>
      <c r="E157" s="23"/>
      <c r="F157" s="23"/>
      <c r="G157" s="23"/>
      <c r="H157" s="23"/>
      <c r="I157" s="23" t="s">
        <v>204</v>
      </c>
      <c r="J157" s="23">
        <v>8392.2196000000004</v>
      </c>
      <c r="K157" s="23">
        <v>7303.9740000000002</v>
      </c>
      <c r="L157" s="23">
        <v>-6.7379909999999996E-3</v>
      </c>
      <c r="P157">
        <v>127</v>
      </c>
      <c r="Q157">
        <v>7.3410937973966911E-3</v>
      </c>
      <c r="R157">
        <v>-2.3867149797396691E-2</v>
      </c>
      <c r="S157">
        <v>-0.66431470122166114</v>
      </c>
    </row>
    <row r="158" spans="1:19">
      <c r="A158" s="23" t="s">
        <v>205</v>
      </c>
      <c r="B158" s="23">
        <v>60.818399999999997</v>
      </c>
      <c r="C158" s="23">
        <v>48.5</v>
      </c>
      <c r="D158" s="23">
        <v>1.7836880999999999E-2</v>
      </c>
      <c r="E158" s="23"/>
      <c r="F158" s="23"/>
      <c r="G158" s="23"/>
      <c r="H158" s="23"/>
      <c r="I158" s="23" t="s">
        <v>205</v>
      </c>
      <c r="J158" s="23">
        <v>8526.4634999999998</v>
      </c>
      <c r="K158" s="23">
        <v>7420.2950000000001</v>
      </c>
      <c r="L158" s="23">
        <v>1.5996232999999999E-2</v>
      </c>
      <c r="P158">
        <v>128</v>
      </c>
      <c r="Q158">
        <v>1.3018136271938884E-2</v>
      </c>
      <c r="R158">
        <v>9.2472727280611157E-3</v>
      </c>
      <c r="S158">
        <v>0.25738721513061413</v>
      </c>
    </row>
    <row r="159" spans="1:19">
      <c r="A159" s="23" t="s">
        <v>206</v>
      </c>
      <c r="B159" s="23">
        <v>60.592700000000001</v>
      </c>
      <c r="C159" s="23">
        <v>48.32</v>
      </c>
      <c r="D159" s="23">
        <v>-3.7110480000000002E-3</v>
      </c>
      <c r="E159" s="23"/>
      <c r="F159" s="23"/>
      <c r="G159" s="23"/>
      <c r="H159" s="23"/>
      <c r="I159" s="23" t="s">
        <v>206</v>
      </c>
      <c r="J159" s="23">
        <v>8564.1422000000002</v>
      </c>
      <c r="K159" s="23">
        <v>7444.6419999999998</v>
      </c>
      <c r="L159" s="23">
        <v>4.41903E-3</v>
      </c>
      <c r="P159">
        <v>129</v>
      </c>
      <c r="Q159">
        <v>-3.9479652360262033E-3</v>
      </c>
      <c r="R159">
        <v>1.1960316236026202E-2</v>
      </c>
      <c r="S159">
        <v>0.33290166502072133</v>
      </c>
    </row>
    <row r="160" spans="1:19">
      <c r="A160" s="24">
        <v>44743</v>
      </c>
      <c r="B160" s="23">
        <v>58.222700000000003</v>
      </c>
      <c r="C160" s="23">
        <v>46.43</v>
      </c>
      <c r="D160" s="23">
        <v>-3.9113623E-2</v>
      </c>
      <c r="E160" s="23"/>
      <c r="F160" s="23"/>
      <c r="G160" s="23"/>
      <c r="H160" s="23"/>
      <c r="I160" s="24">
        <v>44743</v>
      </c>
      <c r="J160" s="23">
        <v>8574.4182999999994</v>
      </c>
      <c r="K160" s="23">
        <v>7453.3469999999998</v>
      </c>
      <c r="L160" s="23">
        <v>1.199898E-3</v>
      </c>
      <c r="P160">
        <v>130</v>
      </c>
      <c r="Q160">
        <v>6.3755037068293392E-3</v>
      </c>
      <c r="R160">
        <v>1.9510974293170662E-2</v>
      </c>
      <c r="S160">
        <v>0.54306555948816926</v>
      </c>
    </row>
    <row r="161" spans="1:19">
      <c r="A161" s="23" t="s">
        <v>207</v>
      </c>
      <c r="B161" s="23">
        <v>56.58</v>
      </c>
      <c r="C161" s="23">
        <v>45.12</v>
      </c>
      <c r="D161" s="23">
        <v>-2.8214080999999998E-2</v>
      </c>
      <c r="E161" s="23"/>
      <c r="F161" s="23"/>
      <c r="G161" s="23"/>
      <c r="H161" s="23"/>
      <c r="I161" s="23" t="s">
        <v>207</v>
      </c>
      <c r="J161" s="23">
        <v>8505.9825999999994</v>
      </c>
      <c r="K161" s="23">
        <v>7393.8590000000004</v>
      </c>
      <c r="L161" s="23">
        <v>-7.9813809999999992E-3</v>
      </c>
      <c r="P161">
        <v>131</v>
      </c>
      <c r="Q161">
        <v>-2.6350785153507299E-4</v>
      </c>
      <c r="R161">
        <v>-5.8150859148464927E-2</v>
      </c>
      <c r="S161">
        <v>-1.618562373342501</v>
      </c>
    </row>
    <row r="162" spans="1:19">
      <c r="A162" s="23" t="s">
        <v>208</v>
      </c>
      <c r="B162" s="23">
        <v>59.878</v>
      </c>
      <c r="C162" s="23">
        <v>47.75</v>
      </c>
      <c r="D162" s="23">
        <v>5.8289147999999999E-2</v>
      </c>
      <c r="E162" s="23"/>
      <c r="F162" s="23"/>
      <c r="G162" s="23"/>
      <c r="H162" s="23"/>
      <c r="I162" s="23" t="s">
        <v>208</v>
      </c>
      <c r="J162" s="23">
        <v>8255.1411000000007</v>
      </c>
      <c r="K162" s="23">
        <v>7175.8140000000003</v>
      </c>
      <c r="L162" s="23">
        <v>-2.9490009000000001E-2</v>
      </c>
      <c r="P162">
        <v>132</v>
      </c>
      <c r="Q162">
        <v>1.5741793257324478E-2</v>
      </c>
      <c r="R162">
        <v>-3.2917122573244782E-3</v>
      </c>
      <c r="S162">
        <v>-9.1621029879768404E-2</v>
      </c>
    </row>
    <row r="163" spans="1:19">
      <c r="A163" s="23" t="s">
        <v>209</v>
      </c>
      <c r="B163" s="23">
        <v>56.730400000000003</v>
      </c>
      <c r="C163" s="23">
        <v>45.24</v>
      </c>
      <c r="D163" s="23">
        <v>-5.2566886E-2</v>
      </c>
      <c r="E163" s="23"/>
      <c r="F163" s="23"/>
      <c r="G163" s="23"/>
      <c r="H163" s="23"/>
      <c r="I163" s="23" t="s">
        <v>209</v>
      </c>
      <c r="J163" s="23">
        <v>8039.2421000000004</v>
      </c>
      <c r="K163" s="23">
        <v>6988.143</v>
      </c>
      <c r="L163" s="23">
        <v>-2.6153277999999999E-2</v>
      </c>
      <c r="P163">
        <v>133</v>
      </c>
      <c r="Q163">
        <v>1.1487712768541937E-2</v>
      </c>
      <c r="R163">
        <v>3.4780949231458066E-2</v>
      </c>
      <c r="S163">
        <v>0.96808777307050142</v>
      </c>
    </row>
    <row r="164" spans="1:19">
      <c r="A164" s="24">
        <v>44653</v>
      </c>
      <c r="B164" s="23">
        <v>60.341900000000003</v>
      </c>
      <c r="C164" s="23">
        <v>48.12</v>
      </c>
      <c r="D164" s="23">
        <v>6.3660753E-2</v>
      </c>
      <c r="E164" s="23"/>
      <c r="F164" s="23"/>
      <c r="G164" s="23"/>
      <c r="H164" s="23"/>
      <c r="I164" s="24">
        <v>44653</v>
      </c>
      <c r="J164" s="23">
        <v>8191.3100999999997</v>
      </c>
      <c r="K164" s="23">
        <v>7120.2120000000004</v>
      </c>
      <c r="L164" s="23">
        <v>1.8915713000000001E-2</v>
      </c>
      <c r="P164">
        <v>134</v>
      </c>
      <c r="Q164">
        <v>4.5427080458238494E-3</v>
      </c>
      <c r="R164">
        <v>-4.7570403045823849E-2</v>
      </c>
      <c r="S164">
        <v>-1.3240675302514517</v>
      </c>
    </row>
    <row r="165" spans="1:19">
      <c r="A165" s="24">
        <v>44867</v>
      </c>
      <c r="B165" s="23">
        <v>61.508099999999999</v>
      </c>
      <c r="C165" s="23">
        <v>49.05</v>
      </c>
      <c r="D165" s="23">
        <v>1.9326538000000001E-2</v>
      </c>
      <c r="E165" s="23"/>
      <c r="F165" s="23"/>
      <c r="G165" s="23"/>
      <c r="H165" s="23"/>
      <c r="I165" s="24">
        <v>44867</v>
      </c>
      <c r="J165" s="23">
        <v>8303.3714999999993</v>
      </c>
      <c r="K165" s="23">
        <v>7217.27</v>
      </c>
      <c r="L165" s="23">
        <v>1.3680522000000001E-2</v>
      </c>
      <c r="P165">
        <v>135</v>
      </c>
      <c r="Q165">
        <v>2.5789706992878247E-2</v>
      </c>
      <c r="R165">
        <v>-8.3045509928782457E-3</v>
      </c>
      <c r="S165">
        <v>-0.23114763842541897</v>
      </c>
    </row>
    <row r="166" spans="1:19">
      <c r="A166" s="23" t="s">
        <v>210</v>
      </c>
      <c r="B166" s="23">
        <v>67.289000000000001</v>
      </c>
      <c r="C166" s="23">
        <v>53.66</v>
      </c>
      <c r="D166" s="23">
        <v>9.3985995000000003E-2</v>
      </c>
      <c r="E166" s="23"/>
      <c r="F166" s="23"/>
      <c r="G166" s="23"/>
      <c r="H166" s="23"/>
      <c r="I166" s="23" t="s">
        <v>210</v>
      </c>
      <c r="J166" s="23">
        <v>8330.3837000000003</v>
      </c>
      <c r="K166" s="23">
        <v>7221.7160000000003</v>
      </c>
      <c r="L166" s="23">
        <v>3.2531600000000002E-3</v>
      </c>
      <c r="P166">
        <v>136</v>
      </c>
      <c r="Q166">
        <v>1.9493699076980897E-2</v>
      </c>
      <c r="R166">
        <v>-3.0949028076980897E-2</v>
      </c>
      <c r="S166">
        <v>-0.86143064901293487</v>
      </c>
    </row>
    <row r="167" spans="1:19">
      <c r="A167" s="23" t="s">
        <v>211</v>
      </c>
      <c r="B167" s="23">
        <v>64.377200000000002</v>
      </c>
      <c r="C167" s="23">
        <v>49.06</v>
      </c>
      <c r="D167" s="23">
        <v>-4.3273046000000003E-2</v>
      </c>
      <c r="E167" s="23"/>
      <c r="F167" s="23"/>
      <c r="G167" s="23"/>
      <c r="H167" s="23"/>
      <c r="I167" s="23" t="s">
        <v>211</v>
      </c>
      <c r="J167" s="23">
        <v>8154.7538000000004</v>
      </c>
      <c r="K167" s="23">
        <v>6997.8140000000003</v>
      </c>
      <c r="L167" s="23">
        <v>-2.1083049999999999E-2</v>
      </c>
      <c r="P167">
        <v>137</v>
      </c>
      <c r="Q167">
        <v>-1.5272559522592251E-2</v>
      </c>
      <c r="R167">
        <v>1.8375899522592252E-2</v>
      </c>
      <c r="S167">
        <v>0.5114720569760558</v>
      </c>
    </row>
    <row r="168" spans="1:19">
      <c r="A168" s="24">
        <v>44654</v>
      </c>
      <c r="B168" s="23">
        <v>64.980800000000002</v>
      </c>
      <c r="C168" s="23">
        <v>49.52</v>
      </c>
      <c r="D168" s="23">
        <v>9.3759900000000007E-3</v>
      </c>
      <c r="E168" s="23"/>
      <c r="F168" s="23"/>
      <c r="G168" s="23"/>
      <c r="H168" s="23"/>
      <c r="I168" s="24">
        <v>44654</v>
      </c>
      <c r="J168" s="23">
        <v>8314.0429000000004</v>
      </c>
      <c r="K168" s="23">
        <v>7110.8289999999997</v>
      </c>
      <c r="L168" s="23">
        <v>1.9533281E-2</v>
      </c>
      <c r="P168">
        <v>138</v>
      </c>
      <c r="Q168">
        <v>1.0681221327073775E-2</v>
      </c>
      <c r="R168">
        <v>-3.9310202327073773E-2</v>
      </c>
      <c r="S168">
        <v>-1.0941543307664447</v>
      </c>
    </row>
    <row r="169" spans="1:19">
      <c r="A169" s="24">
        <v>44868</v>
      </c>
      <c r="B169" s="23">
        <v>65.558199999999999</v>
      </c>
      <c r="C169" s="23">
        <v>49.96</v>
      </c>
      <c r="D169" s="23">
        <v>8.8857020000000005E-3</v>
      </c>
      <c r="E169" s="23"/>
      <c r="F169" s="23"/>
      <c r="G169" s="23"/>
      <c r="H169" s="23"/>
      <c r="I169" s="24">
        <v>44868</v>
      </c>
      <c r="J169" s="23">
        <v>8285.1203999999998</v>
      </c>
      <c r="K169" s="23">
        <v>7063.6009999999997</v>
      </c>
      <c r="L169" s="23">
        <v>-3.4787529999999998E-3</v>
      </c>
      <c r="P169">
        <v>139</v>
      </c>
      <c r="Q169">
        <v>1.829134070056955E-2</v>
      </c>
      <c r="R169">
        <v>-2.9484057700569548E-2</v>
      </c>
      <c r="S169">
        <v>-0.8206548812247576</v>
      </c>
    </row>
    <row r="170" spans="1:19">
      <c r="A170" s="23" t="s">
        <v>212</v>
      </c>
      <c r="B170" s="23">
        <v>64.206599999999995</v>
      </c>
      <c r="C170" s="23">
        <v>48.93</v>
      </c>
      <c r="D170" s="23">
        <v>-2.0616795E-2</v>
      </c>
      <c r="E170" s="23"/>
      <c r="F170" s="23"/>
      <c r="G170" s="23"/>
      <c r="H170" s="23"/>
      <c r="I170" s="23" t="s">
        <v>212</v>
      </c>
      <c r="J170" s="23">
        <v>8557.2819999999992</v>
      </c>
      <c r="K170" s="23">
        <v>7294.3540000000003</v>
      </c>
      <c r="L170" s="23">
        <v>3.2849443999999998E-2</v>
      </c>
      <c r="P170">
        <v>140</v>
      </c>
      <c r="Q170">
        <v>-7.6044050542174741E-3</v>
      </c>
      <c r="R170">
        <v>4.2754780542174735E-3</v>
      </c>
      <c r="S170">
        <v>0.11900302090017685</v>
      </c>
    </row>
    <row r="171" spans="1:19">
      <c r="A171" s="23" t="s">
        <v>213</v>
      </c>
      <c r="B171" s="23">
        <v>71.883099999999999</v>
      </c>
      <c r="C171" s="23">
        <v>54.78</v>
      </c>
      <c r="D171" s="23">
        <v>0.11955936</v>
      </c>
      <c r="E171" s="23"/>
      <c r="F171" s="23"/>
      <c r="G171" s="23"/>
      <c r="H171" s="23"/>
      <c r="I171" s="23" t="s">
        <v>213</v>
      </c>
      <c r="J171" s="23">
        <v>8690.3035</v>
      </c>
      <c r="K171" s="23">
        <v>7406.2479999999996</v>
      </c>
      <c r="L171" s="23">
        <v>1.5544831E-2</v>
      </c>
      <c r="P171">
        <v>141</v>
      </c>
      <c r="Q171">
        <v>4.6590826470836446E-3</v>
      </c>
      <c r="R171">
        <v>1.1595449352916353E-2</v>
      </c>
      <c r="S171">
        <v>0.32274601440904938</v>
      </c>
    </row>
    <row r="172" spans="1:19">
      <c r="A172" s="24">
        <v>44565</v>
      </c>
      <c r="B172" s="23">
        <v>69.835999999999999</v>
      </c>
      <c r="C172" s="23">
        <v>53.22</v>
      </c>
      <c r="D172" s="23">
        <v>-2.8478182000000001E-2</v>
      </c>
      <c r="E172" s="23"/>
      <c r="F172" s="23"/>
      <c r="G172" s="23"/>
      <c r="H172" s="23"/>
      <c r="I172" s="24">
        <v>44565</v>
      </c>
      <c r="J172" s="23">
        <v>8795.2823000000008</v>
      </c>
      <c r="K172" s="23">
        <v>7493.799</v>
      </c>
      <c r="L172" s="23">
        <v>1.2079991999999999E-2</v>
      </c>
      <c r="P172">
        <v>142</v>
      </c>
      <c r="Q172">
        <v>-3.781328676941996E-3</v>
      </c>
      <c r="R172">
        <v>-1.8786465323058003E-2</v>
      </c>
      <c r="S172">
        <v>-0.52289968446335577</v>
      </c>
    </row>
    <row r="173" spans="1:19">
      <c r="A173" s="24">
        <v>44777</v>
      </c>
      <c r="B173" s="23">
        <v>67.841499999999996</v>
      </c>
      <c r="C173" s="23">
        <v>51.7</v>
      </c>
      <c r="D173" s="23">
        <v>-2.8559768999999999E-2</v>
      </c>
      <c r="E173" s="23"/>
      <c r="F173" s="23"/>
      <c r="G173" s="23"/>
      <c r="H173" s="23"/>
      <c r="I173" s="24">
        <v>44777</v>
      </c>
      <c r="J173" s="23">
        <v>8776.8978999999999</v>
      </c>
      <c r="K173" s="23">
        <v>7477.991</v>
      </c>
      <c r="L173" s="23">
        <v>-2.0902569999999999E-3</v>
      </c>
      <c r="P173">
        <v>143</v>
      </c>
      <c r="Q173">
        <v>-1.791538141736472E-2</v>
      </c>
      <c r="R173">
        <v>3.2711485417364718E-2</v>
      </c>
      <c r="S173">
        <v>0.91048662475498632</v>
      </c>
    </row>
    <row r="174" spans="1:19">
      <c r="A174" s="23" t="s">
        <v>214</v>
      </c>
      <c r="B174" s="23">
        <v>66.936000000000007</v>
      </c>
      <c r="C174" s="23">
        <v>51.01</v>
      </c>
      <c r="D174" s="23">
        <v>-1.3347286999999999E-2</v>
      </c>
      <c r="E174" s="23"/>
      <c r="F174" s="23"/>
      <c r="G174" s="23"/>
      <c r="H174" s="23"/>
      <c r="I174" s="23" t="s">
        <v>214</v>
      </c>
      <c r="J174" s="23">
        <v>8830.5414000000001</v>
      </c>
      <c r="K174" s="23">
        <v>7523.4309999999996</v>
      </c>
      <c r="L174" s="23">
        <v>6.1118969999999998E-3</v>
      </c>
      <c r="P174">
        <v>144</v>
      </c>
      <c r="Q174">
        <v>2.4775858099893397E-2</v>
      </c>
      <c r="R174">
        <v>2.4704395900106604E-2</v>
      </c>
      <c r="S174">
        <v>0.68761848484442978</v>
      </c>
    </row>
    <row r="175" spans="1:19">
      <c r="A175" s="23" t="s">
        <v>215</v>
      </c>
      <c r="B175" s="23">
        <v>68.012100000000004</v>
      </c>
      <c r="C175" s="23">
        <v>51.83</v>
      </c>
      <c r="D175" s="23">
        <v>1.6076551000000001E-2</v>
      </c>
      <c r="E175" s="23"/>
      <c r="F175" s="23"/>
      <c r="G175" s="23"/>
      <c r="H175" s="23"/>
      <c r="I175" s="23" t="s">
        <v>215</v>
      </c>
      <c r="J175" s="23">
        <v>8772.0738000000001</v>
      </c>
      <c r="K175" s="23">
        <v>7473.2780000000002</v>
      </c>
      <c r="L175" s="23">
        <v>-6.6210660000000001E-3</v>
      </c>
      <c r="P175">
        <v>145</v>
      </c>
      <c r="Q175">
        <v>1.097880166446874E-2</v>
      </c>
      <c r="R175">
        <v>-2.4660255664468739E-2</v>
      </c>
      <c r="S175">
        <v>-0.6863898920841488</v>
      </c>
    </row>
    <row r="176" spans="1:19">
      <c r="A176" s="23" t="s">
        <v>216</v>
      </c>
      <c r="B176" s="23">
        <v>69.507999999999996</v>
      </c>
      <c r="C176" s="23">
        <v>52.97</v>
      </c>
      <c r="D176" s="23">
        <v>2.1994616000000002E-2</v>
      </c>
      <c r="E176" s="23"/>
      <c r="F176" s="23"/>
      <c r="G176" s="23"/>
      <c r="H176" s="23"/>
      <c r="I176" s="23" t="s">
        <v>216</v>
      </c>
      <c r="J176" s="23">
        <v>8727.1597999999994</v>
      </c>
      <c r="K176" s="23">
        <v>7435.0140000000001</v>
      </c>
      <c r="L176" s="23">
        <v>-5.1201119999999996E-3</v>
      </c>
      <c r="P176">
        <v>146</v>
      </c>
      <c r="Q176">
        <v>1.2526051886158986E-2</v>
      </c>
      <c r="R176">
        <v>8.1744361138410132E-3</v>
      </c>
      <c r="S176">
        <v>0.22752604021508133</v>
      </c>
    </row>
    <row r="177" spans="1:19">
      <c r="A177" s="24">
        <v>44717</v>
      </c>
      <c r="B177" s="23">
        <v>63.931100000000001</v>
      </c>
      <c r="C177" s="23">
        <v>48.72</v>
      </c>
      <c r="D177" s="23">
        <v>-8.0233929999999995E-2</v>
      </c>
      <c r="E177" s="23"/>
      <c r="F177" s="23"/>
      <c r="G177" s="23"/>
      <c r="H177" s="23"/>
      <c r="I177" s="24">
        <v>44717</v>
      </c>
      <c r="J177" s="23">
        <v>8458.7119000000002</v>
      </c>
      <c r="K177" s="23">
        <v>7205.6379999999999</v>
      </c>
      <c r="L177" s="23">
        <v>-3.0760052999999999E-2</v>
      </c>
      <c r="P177">
        <v>147</v>
      </c>
      <c r="Q177">
        <v>-8.2751098071190427E-3</v>
      </c>
      <c r="R177">
        <v>6.3888556807119051E-2</v>
      </c>
      <c r="S177">
        <v>1.7782645974524278</v>
      </c>
    </row>
    <row r="178" spans="1:19">
      <c r="A178" s="23" t="s">
        <v>217</v>
      </c>
      <c r="B178" s="23">
        <v>63.681699999999999</v>
      </c>
      <c r="C178" s="23">
        <v>48.53</v>
      </c>
      <c r="D178" s="23">
        <v>-3.9010749999999999E-3</v>
      </c>
      <c r="E178" s="23"/>
      <c r="F178" s="23"/>
      <c r="G178" s="23"/>
      <c r="H178" s="23"/>
      <c r="I178" s="23" t="s">
        <v>217</v>
      </c>
      <c r="J178" s="23">
        <v>8330.5481</v>
      </c>
      <c r="K178" s="23">
        <v>7075.1120000000001</v>
      </c>
      <c r="L178" s="23">
        <v>-1.5151692E-2</v>
      </c>
      <c r="P178">
        <v>148</v>
      </c>
      <c r="Q178">
        <v>2.5802214473848867E-2</v>
      </c>
      <c r="R178">
        <v>-3.1943046473848866E-2</v>
      </c>
      <c r="S178">
        <v>-0.88909800937769046</v>
      </c>
    </row>
    <row r="179" spans="1:19">
      <c r="A179" s="23" t="s">
        <v>218</v>
      </c>
      <c r="B179" s="23">
        <v>60.558700000000002</v>
      </c>
      <c r="C179" s="23">
        <v>46.15</v>
      </c>
      <c r="D179" s="23">
        <v>-4.9040776000000001E-2</v>
      </c>
      <c r="E179" s="23"/>
      <c r="F179" s="23"/>
      <c r="G179" s="23"/>
      <c r="H179" s="23"/>
      <c r="I179" s="23" t="s">
        <v>218</v>
      </c>
      <c r="J179" s="23">
        <v>8432.3850999999995</v>
      </c>
      <c r="K179" s="23">
        <v>7145.6440000000002</v>
      </c>
      <c r="L179" s="23">
        <v>1.2224525999999999E-2</v>
      </c>
      <c r="P179">
        <v>149</v>
      </c>
      <c r="Q179">
        <v>4.9159112251456021E-3</v>
      </c>
      <c r="R179">
        <v>-8.1038282251456022E-3</v>
      </c>
      <c r="S179">
        <v>-0.22556075073222484</v>
      </c>
    </row>
    <row r="180" spans="1:19">
      <c r="A180" s="23" t="s">
        <v>219</v>
      </c>
      <c r="B180" s="23">
        <v>60.912999999999997</v>
      </c>
      <c r="C180" s="23">
        <v>46.42</v>
      </c>
      <c r="D180" s="23">
        <v>5.8505220000000004E-3</v>
      </c>
      <c r="E180" s="23"/>
      <c r="F180" s="23"/>
      <c r="G180" s="23"/>
      <c r="H180" s="23"/>
      <c r="I180" s="23" t="s">
        <v>219</v>
      </c>
      <c r="J180" s="23">
        <v>8478.9575000000004</v>
      </c>
      <c r="K180" s="23">
        <v>7182.7079999999996</v>
      </c>
      <c r="L180" s="23">
        <v>5.5230399999999999E-3</v>
      </c>
      <c r="P180">
        <v>150</v>
      </c>
      <c r="Q180">
        <v>-3.7915512435316746E-5</v>
      </c>
      <c r="R180">
        <v>-7.3595124875646834E-3</v>
      </c>
      <c r="S180">
        <v>-0.20484357708463741</v>
      </c>
    </row>
    <row r="181" spans="1:19">
      <c r="A181" s="24">
        <v>44626</v>
      </c>
      <c r="B181" s="23">
        <v>60.755499999999998</v>
      </c>
      <c r="C181" s="23">
        <v>46.3</v>
      </c>
      <c r="D181" s="23">
        <v>-2.5856550000000001E-3</v>
      </c>
      <c r="E181" s="23"/>
      <c r="F181" s="23"/>
      <c r="G181" s="23"/>
      <c r="H181" s="23"/>
      <c r="I181" s="24">
        <v>44626</v>
      </c>
      <c r="J181" s="23">
        <v>8545.6031999999996</v>
      </c>
      <c r="K181" s="23">
        <v>7238.7539999999999</v>
      </c>
      <c r="L181" s="23">
        <v>7.8601290000000004E-3</v>
      </c>
      <c r="P181">
        <v>151</v>
      </c>
      <c r="Q181">
        <v>-1.1963959870868597E-2</v>
      </c>
      <c r="R181">
        <v>-3.2950552129131401E-2</v>
      </c>
      <c r="S181">
        <v>-0.91714077208918765</v>
      </c>
    </row>
    <row r="182" spans="1:19">
      <c r="A182" s="24">
        <v>44840</v>
      </c>
      <c r="B182" s="23">
        <v>54.706200000000003</v>
      </c>
      <c r="C182" s="23">
        <v>41.69</v>
      </c>
      <c r="D182" s="23">
        <v>-9.9567939999999994E-2</v>
      </c>
      <c r="E182" s="23"/>
      <c r="F182" s="23"/>
      <c r="G182" s="23"/>
      <c r="H182" s="23"/>
      <c r="I182" s="24">
        <v>44840</v>
      </c>
      <c r="J182" s="23">
        <v>8185.0272999999997</v>
      </c>
      <c r="K182" s="23">
        <v>6931.9790000000003</v>
      </c>
      <c r="L182" s="23">
        <v>-4.2194318000000001E-2</v>
      </c>
      <c r="P182">
        <v>152</v>
      </c>
      <c r="Q182">
        <v>-4.4398342581628697E-4</v>
      </c>
      <c r="R182">
        <v>1.4984014258162869E-3</v>
      </c>
      <c r="S182">
        <v>4.1706282650047811E-2</v>
      </c>
    </row>
    <row r="183" spans="1:19">
      <c r="A183" s="23" t="s">
        <v>220</v>
      </c>
      <c r="B183" s="23">
        <v>48.6175</v>
      </c>
      <c r="C183" s="23">
        <v>37.049999999999997</v>
      </c>
      <c r="D183" s="23">
        <v>-0.111298171</v>
      </c>
      <c r="E183" s="23"/>
      <c r="F183" s="23"/>
      <c r="G183" s="23"/>
      <c r="H183" s="23"/>
      <c r="I183" s="23" t="s">
        <v>220</v>
      </c>
      <c r="J183" s="23">
        <v>7645.2034999999996</v>
      </c>
      <c r="K183" s="23">
        <v>6474.7969999999996</v>
      </c>
      <c r="L183" s="23">
        <v>-6.5952596000000002E-2</v>
      </c>
      <c r="P183">
        <v>153</v>
      </c>
      <c r="Q183">
        <v>2.1316408712143686E-2</v>
      </c>
      <c r="R183">
        <v>-1.4363237712143685E-2</v>
      </c>
      <c r="S183">
        <v>-0.39978422435506694</v>
      </c>
    </row>
    <row r="184" spans="1:19">
      <c r="A184" s="23" t="s">
        <v>221</v>
      </c>
      <c r="B184" s="23">
        <v>51.740600000000001</v>
      </c>
      <c r="C184" s="23">
        <v>39.43</v>
      </c>
      <c r="D184" s="23">
        <v>6.4238186000000003E-2</v>
      </c>
      <c r="E184" s="23"/>
      <c r="F184" s="23"/>
      <c r="G184" s="23"/>
      <c r="H184" s="23"/>
      <c r="I184" s="23" t="s">
        <v>221</v>
      </c>
      <c r="J184" s="23">
        <v>7768.3038999999999</v>
      </c>
      <c r="K184" s="23">
        <v>6578.6970000000001</v>
      </c>
      <c r="L184" s="23">
        <v>1.6101651000000002E-2</v>
      </c>
      <c r="P184">
        <v>154</v>
      </c>
      <c r="Q184">
        <v>-2.3803119930845031E-3</v>
      </c>
      <c r="R184">
        <v>-7.5778900691549685E-4</v>
      </c>
      <c r="S184">
        <v>-2.1092186624355001E-2</v>
      </c>
    </row>
    <row r="185" spans="1:19">
      <c r="A185" s="24">
        <v>44568</v>
      </c>
      <c r="B185" s="23">
        <v>49.942900000000002</v>
      </c>
      <c r="C185" s="23">
        <v>38.06</v>
      </c>
      <c r="D185" s="23">
        <v>-3.4744474999999997E-2</v>
      </c>
      <c r="E185" s="23"/>
      <c r="F185" s="23"/>
      <c r="G185" s="23"/>
      <c r="H185" s="23"/>
      <c r="I185" s="24">
        <v>44568</v>
      </c>
      <c r="J185" s="23">
        <v>7734.0405000000001</v>
      </c>
      <c r="K185" s="23">
        <v>6539.9129999999996</v>
      </c>
      <c r="L185" s="23">
        <v>-4.4106670000000001E-3</v>
      </c>
      <c r="P185">
        <v>155</v>
      </c>
      <c r="Q185">
        <v>2.1817447692205415E-2</v>
      </c>
      <c r="R185">
        <v>-3.9805666922054159E-3</v>
      </c>
      <c r="S185">
        <v>-0.1107945018685796</v>
      </c>
    </row>
    <row r="186" spans="1:19">
      <c r="A186" s="24">
        <v>44780</v>
      </c>
      <c r="B186" s="23">
        <v>53.328400000000002</v>
      </c>
      <c r="C186" s="23">
        <v>40.64</v>
      </c>
      <c r="D186" s="23">
        <v>6.7787413000000005E-2</v>
      </c>
      <c r="E186" s="23"/>
      <c r="F186" s="23"/>
      <c r="G186" s="23"/>
      <c r="H186" s="23"/>
      <c r="I186" s="24">
        <v>44780</v>
      </c>
      <c r="J186" s="23">
        <v>7897.6075000000001</v>
      </c>
      <c r="K186" s="23">
        <v>6678.0110000000004</v>
      </c>
      <c r="L186" s="23">
        <v>2.1148970999999999E-2</v>
      </c>
      <c r="P186">
        <v>156</v>
      </c>
      <c r="Q186">
        <v>9.4949520564706069E-3</v>
      </c>
      <c r="R186">
        <v>-1.3206000056470607E-2</v>
      </c>
      <c r="S186">
        <v>-0.36757384339224369</v>
      </c>
    </row>
    <row r="187" spans="1:19">
      <c r="A187" s="23" t="s">
        <v>222</v>
      </c>
      <c r="B187" s="23">
        <v>52.987200000000001</v>
      </c>
      <c r="C187" s="23">
        <v>40.380000000000003</v>
      </c>
      <c r="D187" s="23">
        <v>-6.3980920000000002E-3</v>
      </c>
      <c r="E187" s="23"/>
      <c r="F187" s="23"/>
      <c r="G187" s="23"/>
      <c r="H187" s="23"/>
      <c r="I187" s="23" t="s">
        <v>222</v>
      </c>
      <c r="J187" s="23">
        <v>7812.5451000000003</v>
      </c>
      <c r="K187" s="23">
        <v>6605.57</v>
      </c>
      <c r="L187" s="23">
        <v>-1.0770653999999999E-2</v>
      </c>
      <c r="P187">
        <v>157</v>
      </c>
      <c r="Q187">
        <v>6.068585599835594E-3</v>
      </c>
      <c r="R187">
        <v>-4.5182208599835592E-2</v>
      </c>
      <c r="S187">
        <v>-1.2575948808855451</v>
      </c>
    </row>
    <row r="188" spans="1:19">
      <c r="A188" s="23" t="s">
        <v>223</v>
      </c>
      <c r="B188" s="23">
        <v>58.341000000000001</v>
      </c>
      <c r="C188" s="23">
        <v>44.46</v>
      </c>
      <c r="D188" s="23">
        <v>0.10103949600000001</v>
      </c>
      <c r="E188" s="23"/>
      <c r="F188" s="23"/>
      <c r="G188" s="23"/>
      <c r="H188" s="23"/>
      <c r="I188" s="23" t="s">
        <v>223</v>
      </c>
      <c r="J188" s="23">
        <v>8032.4484000000002</v>
      </c>
      <c r="K188" s="23">
        <v>6791.5</v>
      </c>
      <c r="L188" s="23">
        <v>2.8147459999999999E-2</v>
      </c>
      <c r="P188">
        <v>158</v>
      </c>
      <c r="Q188">
        <v>-3.7037463190193864E-3</v>
      </c>
      <c r="R188">
        <v>-2.4510334680980614E-2</v>
      </c>
      <c r="S188">
        <v>-0.68221701370536414</v>
      </c>
    </row>
    <row r="189" spans="1:19">
      <c r="A189" s="23" t="s">
        <v>224</v>
      </c>
      <c r="B189" s="23">
        <v>55.231099999999998</v>
      </c>
      <c r="C189" s="23">
        <v>42.09</v>
      </c>
      <c r="D189" s="23">
        <v>-5.3305565999999999E-2</v>
      </c>
      <c r="E189" s="23"/>
      <c r="F189" s="23"/>
      <c r="G189" s="23"/>
      <c r="H189" s="23"/>
      <c r="I189" s="23" t="s">
        <v>224</v>
      </c>
      <c r="J189" s="23">
        <v>8214.1735000000008</v>
      </c>
      <c r="K189" s="23">
        <v>6945.15</v>
      </c>
      <c r="L189" s="23">
        <v>2.2623873999999999E-2</v>
      </c>
      <c r="P189">
        <v>159</v>
      </c>
      <c r="Q189">
        <v>-2.6597011182790321E-2</v>
      </c>
      <c r="R189">
        <v>8.4886159182790327E-2</v>
      </c>
      <c r="S189">
        <v>2.3627087421021082</v>
      </c>
    </row>
    <row r="190" spans="1:19">
      <c r="A190" s="24">
        <v>44689</v>
      </c>
      <c r="B190" s="23">
        <v>58.2361</v>
      </c>
      <c r="C190" s="23">
        <v>44.38</v>
      </c>
      <c r="D190" s="23">
        <v>5.4407751999999997E-2</v>
      </c>
      <c r="E190" s="23"/>
      <c r="F190" s="23"/>
      <c r="G190" s="23"/>
      <c r="H190" s="23"/>
      <c r="I190" s="24">
        <v>44689</v>
      </c>
      <c r="J190" s="23">
        <v>8297.4977999999992</v>
      </c>
      <c r="K190" s="23">
        <v>7015.56</v>
      </c>
      <c r="L190" s="23">
        <v>1.0143966000000001E-2</v>
      </c>
      <c r="P190">
        <v>160</v>
      </c>
      <c r="Q190">
        <v>-2.3045475186995734E-2</v>
      </c>
      <c r="R190">
        <v>-2.9521410813004266E-2</v>
      </c>
      <c r="S190">
        <v>-0.82169456220624937</v>
      </c>
    </row>
    <row r="191" spans="1:19">
      <c r="A191" s="24">
        <v>44903</v>
      </c>
      <c r="B191" s="23">
        <v>59.771299999999997</v>
      </c>
      <c r="C191" s="23">
        <v>45.55</v>
      </c>
      <c r="D191" s="23">
        <v>2.6361655000000001E-2</v>
      </c>
      <c r="E191" s="23"/>
      <c r="F191" s="23"/>
      <c r="G191" s="23"/>
      <c r="H191" s="23"/>
      <c r="I191" s="24">
        <v>44903</v>
      </c>
      <c r="J191" s="23">
        <v>8326.8783000000003</v>
      </c>
      <c r="K191" s="23">
        <v>7032.5050000000001</v>
      </c>
      <c r="L191" s="23">
        <v>3.5408869999999999E-3</v>
      </c>
      <c r="P191">
        <v>161</v>
      </c>
      <c r="Q191">
        <v>2.4924871787525768E-2</v>
      </c>
      <c r="R191">
        <v>3.8735881212474232E-2</v>
      </c>
      <c r="S191">
        <v>1.0781687621967071</v>
      </c>
    </row>
    <row r="192" spans="1:19">
      <c r="A192" s="23" t="s">
        <v>225</v>
      </c>
      <c r="B192" s="23">
        <v>58.104799999999997</v>
      </c>
      <c r="C192" s="23">
        <v>44.28</v>
      </c>
      <c r="D192" s="23">
        <v>-2.7881274000000001E-2</v>
      </c>
      <c r="E192" s="23"/>
      <c r="F192" s="23"/>
      <c r="G192" s="23"/>
      <c r="H192" s="23"/>
      <c r="I192" s="23" t="s">
        <v>225</v>
      </c>
      <c r="J192" s="23">
        <v>8448.9691000000003</v>
      </c>
      <c r="K192" s="23">
        <v>7114.4610000000002</v>
      </c>
      <c r="L192" s="23">
        <v>1.4662253E-2</v>
      </c>
      <c r="P192">
        <v>162</v>
      </c>
      <c r="Q192">
        <v>1.9352660757820394E-2</v>
      </c>
      <c r="R192">
        <v>-2.6122757820393194E-5</v>
      </c>
      <c r="S192">
        <v>-7.2709695979002805E-4</v>
      </c>
    </row>
    <row r="193" spans="1:19">
      <c r="A193" s="23" t="s">
        <v>226</v>
      </c>
      <c r="B193" s="23">
        <v>58.7258</v>
      </c>
      <c r="C193" s="23">
        <v>42.51</v>
      </c>
      <c r="D193" s="23">
        <v>1.0687584999999999E-2</v>
      </c>
      <c r="E193" s="23"/>
      <c r="F193" s="23"/>
      <c r="G193" s="23"/>
      <c r="H193" s="23"/>
      <c r="I193" s="23" t="s">
        <v>226</v>
      </c>
      <c r="J193" s="23">
        <v>8450.9667000000009</v>
      </c>
      <c r="K193" s="23">
        <v>7104.0609999999997</v>
      </c>
      <c r="L193" s="23">
        <v>2.36431E-4</v>
      </c>
      <c r="P193">
        <v>163</v>
      </c>
      <c r="Q193">
        <v>8.2540281487846028E-3</v>
      </c>
      <c r="R193">
        <v>8.5731966851215397E-2</v>
      </c>
      <c r="S193">
        <v>2.3862508270728946</v>
      </c>
    </row>
    <row r="194" spans="1:19">
      <c r="A194" s="24">
        <v>44601</v>
      </c>
      <c r="B194" s="23">
        <v>54.526200000000003</v>
      </c>
      <c r="C194" s="23">
        <v>39.47</v>
      </c>
      <c r="D194" s="23">
        <v>-7.1512010000000001E-2</v>
      </c>
      <c r="E194" s="23"/>
      <c r="F194" s="23"/>
      <c r="G194" s="23"/>
      <c r="H194" s="23"/>
      <c r="I194" s="24">
        <v>44601</v>
      </c>
      <c r="J194" s="23">
        <v>8221.8773999999994</v>
      </c>
      <c r="K194" s="23">
        <v>6828.7079999999996</v>
      </c>
      <c r="L194" s="23">
        <v>-2.7108059E-2</v>
      </c>
      <c r="P194">
        <v>164</v>
      </c>
      <c r="Q194">
        <v>-1.7648846795649362E-2</v>
      </c>
      <c r="R194">
        <v>-2.5624199204350641E-2</v>
      </c>
      <c r="S194">
        <v>-0.71322015334814959</v>
      </c>
    </row>
    <row r="195" spans="1:19">
      <c r="A195" s="24">
        <v>44813</v>
      </c>
      <c r="B195" s="23">
        <v>56.639800000000001</v>
      </c>
      <c r="C195" s="23">
        <v>41</v>
      </c>
      <c r="D195" s="23">
        <v>3.8763016999999997E-2</v>
      </c>
      <c r="E195" s="23"/>
      <c r="F195" s="23"/>
      <c r="G195" s="23"/>
      <c r="H195" s="23"/>
      <c r="I195" s="24">
        <v>44813</v>
      </c>
      <c r="J195" s="23">
        <v>8349.9778999999999</v>
      </c>
      <c r="K195" s="23">
        <v>6894.1760000000004</v>
      </c>
      <c r="L195" s="23">
        <v>1.5580444000000001E-2</v>
      </c>
      <c r="P195">
        <v>165</v>
      </c>
      <c r="Q195">
        <v>2.5582196271234779E-2</v>
      </c>
      <c r="R195">
        <v>-1.6206206271234778E-2</v>
      </c>
      <c r="S195">
        <v>-0.45108113739606426</v>
      </c>
    </row>
    <row r="196" spans="1:19">
      <c r="A196" s="23" t="s">
        <v>227</v>
      </c>
      <c r="B196" s="23">
        <v>57.178600000000003</v>
      </c>
      <c r="C196" s="23">
        <v>41.39</v>
      </c>
      <c r="D196" s="23">
        <v>9.5127449999999995E-3</v>
      </c>
      <c r="E196" s="23"/>
      <c r="F196" s="23"/>
      <c r="G196" s="23"/>
      <c r="H196" s="23"/>
      <c r="I196" s="23" t="s">
        <v>227</v>
      </c>
      <c r="J196" s="23">
        <v>8169.8580000000002</v>
      </c>
      <c r="K196" s="23">
        <v>6739.0780000000004</v>
      </c>
      <c r="L196" s="23">
        <v>-2.1571303E-2</v>
      </c>
      <c r="P196">
        <v>166</v>
      </c>
      <c r="Q196">
        <v>1.0887423226099728E-3</v>
      </c>
      <c r="R196">
        <v>7.7969596773900278E-3</v>
      </c>
      <c r="S196">
        <v>0.21701941716927023</v>
      </c>
    </row>
    <row r="197" spans="1:19">
      <c r="A197" s="23" t="s">
        <v>228</v>
      </c>
      <c r="B197" s="23">
        <v>53.075699999999998</v>
      </c>
      <c r="C197" s="23">
        <v>38.42</v>
      </c>
      <c r="D197" s="23">
        <v>-7.1755867000000001E-2</v>
      </c>
      <c r="E197" s="23"/>
      <c r="F197" s="23"/>
      <c r="G197" s="23"/>
      <c r="H197" s="23"/>
      <c r="I197" s="23" t="s">
        <v>228</v>
      </c>
      <c r="J197" s="23">
        <v>7972.7038000000002</v>
      </c>
      <c r="K197" s="23">
        <v>6574.732</v>
      </c>
      <c r="L197" s="23">
        <v>-2.4131900000000001E-2</v>
      </c>
      <c r="P197">
        <v>167</v>
      </c>
      <c r="Q197">
        <v>3.9755598987956026E-2</v>
      </c>
      <c r="R197">
        <v>-6.0372393987956026E-2</v>
      </c>
      <c r="S197">
        <v>-1.6803962439838549</v>
      </c>
    </row>
    <row r="198" spans="1:19">
      <c r="A198" s="23" t="s">
        <v>229</v>
      </c>
      <c r="B198" s="23">
        <v>52.440199999999997</v>
      </c>
      <c r="C198" s="23">
        <v>37.96</v>
      </c>
      <c r="D198" s="23">
        <v>-1.1973464E-2</v>
      </c>
      <c r="E198" s="23"/>
      <c r="F198" s="23"/>
      <c r="G198" s="23"/>
      <c r="H198" s="23"/>
      <c r="I198" s="23" t="s">
        <v>229</v>
      </c>
      <c r="J198" s="23">
        <v>7851.5042000000003</v>
      </c>
      <c r="K198" s="23">
        <v>6474.1980000000003</v>
      </c>
      <c r="L198" s="23">
        <v>-1.5201819E-2</v>
      </c>
      <c r="P198">
        <v>168</v>
      </c>
      <c r="Q198">
        <v>2.1336986291039521E-2</v>
      </c>
      <c r="R198">
        <v>9.8222373708960475E-2</v>
      </c>
      <c r="S198">
        <v>2.7339069556963871</v>
      </c>
    </row>
    <row r="199" spans="1:19">
      <c r="A199" s="24">
        <v>44752</v>
      </c>
      <c r="B199" s="23">
        <v>55.5623</v>
      </c>
      <c r="C199" s="23">
        <v>40.22</v>
      </c>
      <c r="D199" s="23">
        <v>5.9536385999999997E-2</v>
      </c>
      <c r="E199" s="23"/>
      <c r="F199" s="23"/>
      <c r="G199" s="23"/>
      <c r="H199" s="23"/>
      <c r="I199" s="24">
        <v>44752</v>
      </c>
      <c r="J199" s="23">
        <v>8202.0146999999997</v>
      </c>
      <c r="K199" s="23">
        <v>6762.7709999999997</v>
      </c>
      <c r="L199" s="23">
        <v>4.4642464999999999E-2</v>
      </c>
      <c r="P199">
        <v>169</v>
      </c>
      <c r="Q199">
        <v>1.7649095229958209E-2</v>
      </c>
      <c r="R199">
        <v>-4.6127277229958213E-2</v>
      </c>
      <c r="S199">
        <v>-1.2838997807157859</v>
      </c>
    </row>
    <row r="200" spans="1:19">
      <c r="A200" s="23" t="s">
        <v>230</v>
      </c>
      <c r="B200" s="23">
        <v>56.874699999999997</v>
      </c>
      <c r="C200" s="23">
        <v>41.17</v>
      </c>
      <c r="D200" s="23">
        <v>2.3620332000000001E-2</v>
      </c>
      <c r="E200" s="23"/>
      <c r="F200" s="23"/>
      <c r="G200" s="23"/>
      <c r="H200" s="23"/>
      <c r="I200" s="23" t="s">
        <v>230</v>
      </c>
      <c r="J200" s="23">
        <v>8198.1756999999998</v>
      </c>
      <c r="K200" s="23">
        <v>6758.8280000000004</v>
      </c>
      <c r="L200" s="23">
        <v>-4.6805600000000001E-4</v>
      </c>
      <c r="P200">
        <v>170</v>
      </c>
      <c r="Q200">
        <v>2.5666239750466828E-3</v>
      </c>
      <c r="R200">
        <v>-3.1126392975046682E-2</v>
      </c>
      <c r="S200">
        <v>-0.86636739723239065</v>
      </c>
    </row>
    <row r="201" spans="1:19">
      <c r="A201" s="23" t="s">
        <v>231</v>
      </c>
      <c r="B201" s="23">
        <v>55.810899999999997</v>
      </c>
      <c r="C201" s="23">
        <v>40.4</v>
      </c>
      <c r="D201" s="23">
        <v>-1.8704274E-2</v>
      </c>
      <c r="E201" s="23"/>
      <c r="F201" s="23"/>
      <c r="G201" s="23"/>
      <c r="H201" s="23"/>
      <c r="I201" s="23" t="s">
        <v>231</v>
      </c>
      <c r="J201" s="23">
        <v>8098.6246000000001</v>
      </c>
      <c r="K201" s="23">
        <v>6676.7550000000001</v>
      </c>
      <c r="L201" s="23">
        <v>-1.2143080000000001E-2</v>
      </c>
      <c r="P201">
        <v>171</v>
      </c>
      <c r="Q201">
        <v>1.1296798860001605E-2</v>
      </c>
      <c r="R201">
        <v>-2.4644085860001604E-2</v>
      </c>
      <c r="S201">
        <v>-0.68593982414915933</v>
      </c>
    </row>
    <row r="202" spans="1:19">
      <c r="A202" s="23" t="s">
        <v>232</v>
      </c>
      <c r="B202" s="23">
        <v>57.883099999999999</v>
      </c>
      <c r="C202" s="23">
        <v>41.9</v>
      </c>
      <c r="D202" s="23">
        <v>3.7128948000000002E-2</v>
      </c>
      <c r="E202" s="23"/>
      <c r="F202" s="23"/>
      <c r="G202" s="23"/>
      <c r="H202" s="23"/>
      <c r="I202" s="23" t="s">
        <v>232</v>
      </c>
      <c r="J202" s="23">
        <v>8232.6021999999994</v>
      </c>
      <c r="K202" s="23">
        <v>6785.72</v>
      </c>
      <c r="L202" s="23">
        <v>1.6543254E-2</v>
      </c>
      <c r="P202">
        <v>172</v>
      </c>
      <c r="Q202">
        <v>-2.2558598432683274E-3</v>
      </c>
      <c r="R202">
        <v>1.8332410843268331E-2</v>
      </c>
      <c r="S202">
        <v>0.51026159953740735</v>
      </c>
    </row>
    <row r="203" spans="1:19">
      <c r="A203" s="24">
        <v>44662</v>
      </c>
      <c r="B203" s="23">
        <v>58.712000000000003</v>
      </c>
      <c r="C203" s="23">
        <v>42.5</v>
      </c>
      <c r="D203" s="23">
        <v>1.4320242E-2</v>
      </c>
      <c r="E203" s="23"/>
      <c r="F203" s="23"/>
      <c r="G203" s="23"/>
      <c r="H203" s="23"/>
      <c r="I203" s="24">
        <v>44662</v>
      </c>
      <c r="J203" s="23">
        <v>8362.3044000000009</v>
      </c>
      <c r="K203" s="23">
        <v>6892.4579999999996</v>
      </c>
      <c r="L203" s="23">
        <v>1.5754702999999998E-2</v>
      </c>
      <c r="P203">
        <v>173</v>
      </c>
      <c r="Q203">
        <v>-6.5828060807320184E-4</v>
      </c>
      <c r="R203">
        <v>2.2652896608073202E-2</v>
      </c>
      <c r="S203">
        <v>0.63051735836671885</v>
      </c>
    </row>
    <row r="204" spans="1:19">
      <c r="A204" s="24">
        <v>44876</v>
      </c>
      <c r="B204" s="23">
        <v>60.065800000000003</v>
      </c>
      <c r="C204" s="23">
        <v>43.48</v>
      </c>
      <c r="D204" s="23">
        <v>2.3058319000000001E-2</v>
      </c>
      <c r="E204" s="23"/>
      <c r="F204" s="23"/>
      <c r="G204" s="23"/>
      <c r="H204" s="23"/>
      <c r="I204" s="24">
        <v>44876</v>
      </c>
      <c r="J204" s="23">
        <v>8703.9595000000008</v>
      </c>
      <c r="K204" s="23">
        <v>7157.9520000000002</v>
      </c>
      <c r="L204" s="23">
        <v>4.0856573E-2</v>
      </c>
      <c r="P204">
        <v>174</v>
      </c>
      <c r="Q204">
        <v>-2.7948815383441475E-2</v>
      </c>
      <c r="R204">
        <v>-5.228511461655852E-2</v>
      </c>
      <c r="S204">
        <v>-1.4552961115879857</v>
      </c>
    </row>
    <row r="205" spans="1:19">
      <c r="A205" s="23" t="s">
        <v>233</v>
      </c>
      <c r="B205" s="23">
        <v>59.043599999999998</v>
      </c>
      <c r="C205" s="23">
        <v>42.74</v>
      </c>
      <c r="D205" s="23">
        <v>-1.7018004E-2</v>
      </c>
      <c r="E205" s="23"/>
      <c r="F205" s="23"/>
      <c r="G205" s="23"/>
      <c r="H205" s="23"/>
      <c r="I205" s="23" t="s">
        <v>233</v>
      </c>
      <c r="J205" s="23">
        <v>8725.2800000000007</v>
      </c>
      <c r="K205" s="23">
        <v>7151.8320000000003</v>
      </c>
      <c r="L205" s="23">
        <v>2.449517E-3</v>
      </c>
      <c r="P205">
        <v>175</v>
      </c>
      <c r="Q205">
        <v>-1.1335652402411142E-2</v>
      </c>
      <c r="R205">
        <v>7.4345774024111421E-3</v>
      </c>
      <c r="S205">
        <v>0.20693292277114639</v>
      </c>
    </row>
    <row r="206" spans="1:19">
      <c r="A206" s="23" t="s">
        <v>234</v>
      </c>
      <c r="B206" s="23">
        <v>61.903199999999998</v>
      </c>
      <c r="C206" s="23">
        <v>44.81</v>
      </c>
      <c r="D206" s="23">
        <v>4.8432006E-2</v>
      </c>
      <c r="E206" s="23"/>
      <c r="F206" s="23"/>
      <c r="G206" s="23"/>
      <c r="H206" s="23"/>
      <c r="I206" s="23" t="s">
        <v>234</v>
      </c>
      <c r="J206" s="23">
        <v>8857.8255000000008</v>
      </c>
      <c r="K206" s="23">
        <v>7259.4830000000002</v>
      </c>
      <c r="L206" s="23">
        <v>1.5190973999999999E-2</v>
      </c>
      <c r="P206">
        <v>176</v>
      </c>
      <c r="Q206">
        <v>1.7802933733456448E-2</v>
      </c>
      <c r="R206">
        <v>-6.684370973345645E-2</v>
      </c>
      <c r="S206">
        <v>-1.8605178849203046</v>
      </c>
    </row>
    <row r="207" spans="1:19">
      <c r="A207" s="24">
        <v>44604</v>
      </c>
      <c r="B207" s="23">
        <v>62.124200000000002</v>
      </c>
      <c r="C207" s="23">
        <v>44.97</v>
      </c>
      <c r="D207" s="23">
        <v>3.5700900000000002E-3</v>
      </c>
      <c r="E207" s="23"/>
      <c r="F207" s="23"/>
      <c r="G207" s="23"/>
      <c r="H207" s="23"/>
      <c r="I207" s="24">
        <v>44604</v>
      </c>
      <c r="J207" s="23">
        <v>8910.4814000000006</v>
      </c>
      <c r="K207" s="23">
        <v>7301.4629999999997</v>
      </c>
      <c r="L207" s="23">
        <v>5.9445629999999999E-3</v>
      </c>
      <c r="P207">
        <v>177</v>
      </c>
      <c r="Q207">
        <v>1.0670033672194854E-2</v>
      </c>
      <c r="R207">
        <v>-4.8195116721948539E-3</v>
      </c>
      <c r="S207">
        <v>-0.13414557178912312</v>
      </c>
    </row>
    <row r="208" spans="1:19">
      <c r="A208" s="24">
        <v>44816</v>
      </c>
      <c r="B208" s="23">
        <v>61.709800000000001</v>
      </c>
      <c r="C208" s="23">
        <v>44.67</v>
      </c>
      <c r="D208" s="23">
        <v>-6.6705080000000003E-3</v>
      </c>
      <c r="E208" s="23"/>
      <c r="F208" s="23"/>
      <c r="G208" s="23"/>
      <c r="H208" s="23"/>
      <c r="I208" s="24">
        <v>44816</v>
      </c>
      <c r="J208" s="23">
        <v>8804.8626999999997</v>
      </c>
      <c r="K208" s="23">
        <v>7213.1819999999998</v>
      </c>
      <c r="L208" s="23">
        <v>-1.1853310000000001E-2</v>
      </c>
      <c r="P208">
        <v>178</v>
      </c>
      <c r="Q208">
        <v>1.3157574834151142E-2</v>
      </c>
      <c r="R208">
        <v>-1.5743229834151141E-2</v>
      </c>
      <c r="S208">
        <v>-0.43819472003644167</v>
      </c>
    </row>
    <row r="209" spans="1:19">
      <c r="A209" s="23" t="s">
        <v>235</v>
      </c>
      <c r="B209" s="23">
        <v>58.656700000000001</v>
      </c>
      <c r="C209" s="23">
        <v>42.46</v>
      </c>
      <c r="D209" s="23">
        <v>-4.9475124000000002E-2</v>
      </c>
      <c r="E209" s="23"/>
      <c r="F209" s="23"/>
      <c r="G209" s="23"/>
      <c r="H209" s="23"/>
      <c r="I209" s="23" t="s">
        <v>235</v>
      </c>
      <c r="J209" s="23">
        <v>8726.1214</v>
      </c>
      <c r="K209" s="23">
        <v>7148.6750000000002</v>
      </c>
      <c r="L209" s="23">
        <v>-8.9429330000000001E-3</v>
      </c>
      <c r="P209">
        <v>179</v>
      </c>
      <c r="Q209">
        <v>-4.0119171259583176E-2</v>
      </c>
      <c r="R209">
        <v>-5.9448768740416817E-2</v>
      </c>
      <c r="S209">
        <v>-1.6546881960783308</v>
      </c>
    </row>
    <row r="210" spans="1:19">
      <c r="A210" s="23" t="s">
        <v>236</v>
      </c>
      <c r="B210" s="23">
        <v>58.228499999999997</v>
      </c>
      <c r="C210" s="23">
        <v>42.15</v>
      </c>
      <c r="D210" s="23">
        <v>-7.300104E-3</v>
      </c>
      <c r="E210" s="23"/>
      <c r="F210" s="23"/>
      <c r="G210" s="23"/>
      <c r="H210" s="23"/>
      <c r="I210" s="23" t="s">
        <v>236</v>
      </c>
      <c r="J210" s="23">
        <v>8676.7530000000006</v>
      </c>
      <c r="K210" s="23">
        <v>7107.6890000000003</v>
      </c>
      <c r="L210" s="23">
        <v>-5.6575419999999998E-3</v>
      </c>
      <c r="P210">
        <v>180</v>
      </c>
      <c r="Q210">
        <v>-6.5406909322703793E-2</v>
      </c>
      <c r="R210">
        <v>-4.5891261677296208E-2</v>
      </c>
      <c r="S210">
        <v>-1.2773305588907558</v>
      </c>
    </row>
    <row r="211" spans="1:19">
      <c r="A211" s="23" t="s">
        <v>237</v>
      </c>
      <c r="B211" s="23">
        <v>57.952199999999998</v>
      </c>
      <c r="C211" s="23">
        <v>41.95</v>
      </c>
      <c r="D211" s="23">
        <v>-4.745099E-3</v>
      </c>
      <c r="E211" s="23"/>
      <c r="F211" s="23"/>
      <c r="G211" s="23"/>
      <c r="H211" s="23"/>
      <c r="I211" s="23" t="s">
        <v>237</v>
      </c>
      <c r="J211" s="23">
        <v>8605.4109000000008</v>
      </c>
      <c r="K211" s="23">
        <v>7038.6880000000001</v>
      </c>
      <c r="L211" s="23">
        <v>-8.2222119999999996E-3</v>
      </c>
      <c r="P211">
        <v>181</v>
      </c>
      <c r="Q211">
        <v>2.1929652068765793E-2</v>
      </c>
      <c r="R211">
        <v>4.230853393123421E-2</v>
      </c>
      <c r="S211">
        <v>1.1776094471372551</v>
      </c>
    </row>
    <row r="212" spans="1:19">
      <c r="A212" s="24">
        <v>45078</v>
      </c>
      <c r="B212" s="23">
        <v>60.963799999999999</v>
      </c>
      <c r="C212" s="23">
        <v>44.13</v>
      </c>
      <c r="D212" s="23">
        <v>5.1966966000000003E-2</v>
      </c>
      <c r="E212" s="23"/>
      <c r="F212" s="23"/>
      <c r="G212" s="23"/>
      <c r="H212" s="23"/>
      <c r="I212" s="24">
        <v>45078</v>
      </c>
      <c r="J212" s="23">
        <v>8692.0995999999996</v>
      </c>
      <c r="K212" s="23">
        <v>7109.5940000000001</v>
      </c>
      <c r="L212" s="23">
        <v>1.0073743E-2</v>
      </c>
      <c r="P212">
        <v>182</v>
      </c>
      <c r="Q212">
        <v>9.6835538399644289E-5</v>
      </c>
      <c r="R212">
        <v>-3.4841310538399645E-2</v>
      </c>
      <c r="S212">
        <v>-0.96976786071928378</v>
      </c>
    </row>
    <row r="213" spans="1:19">
      <c r="A213" s="23" t="s">
        <v>238</v>
      </c>
      <c r="B213" s="23">
        <v>62.9116</v>
      </c>
      <c r="C213" s="23">
        <v>45.54</v>
      </c>
      <c r="D213" s="23">
        <v>3.1950107999999998E-2</v>
      </c>
      <c r="E213" s="23"/>
      <c r="F213" s="23"/>
      <c r="G213" s="23"/>
      <c r="H213" s="23"/>
      <c r="I213" s="23" t="s">
        <v>238</v>
      </c>
      <c r="J213" s="23">
        <v>8959.5704999999998</v>
      </c>
      <c r="K213" s="23">
        <v>7328.1</v>
      </c>
      <c r="L213" s="23">
        <v>3.0771725E-2</v>
      </c>
      <c r="P213">
        <v>183</v>
      </c>
      <c r="Q213">
        <v>2.7301897737443882E-2</v>
      </c>
      <c r="R213">
        <v>4.0485515262556122E-2</v>
      </c>
      <c r="S213">
        <v>1.1268678163818102</v>
      </c>
    </row>
    <row r="214" spans="1:19">
      <c r="A214" s="23" t="s">
        <v>239</v>
      </c>
      <c r="B214" s="23">
        <v>66.462000000000003</v>
      </c>
      <c r="C214" s="23">
        <v>48.11</v>
      </c>
      <c r="D214" s="23">
        <v>5.6434743000000002E-2</v>
      </c>
      <c r="E214" s="23"/>
      <c r="F214" s="23"/>
      <c r="G214" s="23"/>
      <c r="H214" s="23"/>
      <c r="I214" s="23" t="s">
        <v>239</v>
      </c>
      <c r="J214" s="23">
        <v>9111.2441999999992</v>
      </c>
      <c r="K214" s="23">
        <v>7452.1549999999997</v>
      </c>
      <c r="L214" s="23">
        <v>1.6928680000000002E-2</v>
      </c>
      <c r="P214">
        <v>184</v>
      </c>
      <c r="Q214">
        <v>-6.6725812240800413E-3</v>
      </c>
      <c r="R214">
        <v>2.7448922408004114E-4</v>
      </c>
      <c r="S214">
        <v>7.6400922787683541E-3</v>
      </c>
    </row>
    <row r="215" spans="1:19">
      <c r="A215" s="23" t="s">
        <v>240</v>
      </c>
      <c r="B215" s="23">
        <v>67.691500000000005</v>
      </c>
      <c r="C215" s="23">
        <v>49</v>
      </c>
      <c r="D215" s="23">
        <v>1.8499293E-2</v>
      </c>
      <c r="E215" s="23"/>
      <c r="F215" s="23"/>
      <c r="G215" s="23"/>
      <c r="H215" s="23"/>
      <c r="I215" s="23" t="s">
        <v>240</v>
      </c>
      <c r="J215" s="23">
        <v>9162.2009999999991</v>
      </c>
      <c r="K215" s="23">
        <v>7493.8329999999996</v>
      </c>
      <c r="L215" s="23">
        <v>5.5927379999999999E-3</v>
      </c>
      <c r="P215">
        <v>185</v>
      </c>
      <c r="Q215">
        <v>3.4750920628312948E-2</v>
      </c>
      <c r="R215">
        <v>6.6288575371687058E-2</v>
      </c>
      <c r="S215">
        <v>1.8450663575780271</v>
      </c>
    </row>
    <row r="216" spans="1:19">
      <c r="A216" s="24">
        <v>44987</v>
      </c>
      <c r="B216" s="23">
        <v>66.4482</v>
      </c>
      <c r="C216" s="23">
        <v>48.1</v>
      </c>
      <c r="D216" s="23">
        <v>-1.8367151000000002E-2</v>
      </c>
      <c r="E216" s="23"/>
      <c r="F216" s="23"/>
      <c r="G216" s="23"/>
      <c r="H216" s="23"/>
      <c r="I216" s="24">
        <v>44987</v>
      </c>
      <c r="J216" s="23">
        <v>9240.7857000000004</v>
      </c>
      <c r="K216" s="23">
        <v>7558.1080000000002</v>
      </c>
      <c r="L216" s="23">
        <v>8.5770550000000001E-3</v>
      </c>
      <c r="P216">
        <v>186</v>
      </c>
      <c r="Q216">
        <v>2.8871748916578614E-2</v>
      </c>
      <c r="R216">
        <v>-8.217731491657862E-2</v>
      </c>
      <c r="S216">
        <v>-2.2873111732830314</v>
      </c>
    </row>
    <row r="217" spans="1:19">
      <c r="A217" s="24">
        <v>45201</v>
      </c>
      <c r="B217" s="23">
        <v>64.403599999999997</v>
      </c>
      <c r="C217" s="23">
        <v>46.62</v>
      </c>
      <c r="D217" s="23">
        <v>-3.0769833E-2</v>
      </c>
      <c r="E217" s="23"/>
      <c r="F217" s="23"/>
      <c r="G217" s="23"/>
      <c r="H217" s="23"/>
      <c r="I217" s="24">
        <v>45201</v>
      </c>
      <c r="J217" s="23">
        <v>9089.3868000000002</v>
      </c>
      <c r="K217" s="23">
        <v>7433.6620000000003</v>
      </c>
      <c r="L217" s="23">
        <v>-1.6383768999999999E-2</v>
      </c>
      <c r="P217">
        <v>187</v>
      </c>
      <c r="Q217">
        <v>1.5588435851724185E-2</v>
      </c>
      <c r="R217">
        <v>3.8819316148275815E-2</v>
      </c>
      <c r="S217">
        <v>1.0804910778028429</v>
      </c>
    </row>
    <row r="218" spans="1:19">
      <c r="A218" s="23" t="s">
        <v>241</v>
      </c>
      <c r="B218" s="23">
        <v>62.897799999999997</v>
      </c>
      <c r="C218" s="23">
        <v>45.53</v>
      </c>
      <c r="D218" s="23">
        <v>-2.3380681E-2</v>
      </c>
      <c r="E218" s="23"/>
      <c r="F218" s="23"/>
      <c r="G218" s="23"/>
      <c r="H218" s="23"/>
      <c r="I218" s="23" t="s">
        <v>241</v>
      </c>
      <c r="J218" s="23">
        <v>8988.5823</v>
      </c>
      <c r="K218" s="23">
        <v>7346.7659999999996</v>
      </c>
      <c r="L218" s="23">
        <v>-1.1090352E-2</v>
      </c>
      <c r="P218">
        <v>188</v>
      </c>
      <c r="Q218">
        <v>8.5602778277254557E-3</v>
      </c>
      <c r="R218">
        <v>1.7801377172274545E-2</v>
      </c>
      <c r="S218">
        <v>0.49548088724123879</v>
      </c>
    </row>
    <row r="219" spans="1:19">
      <c r="A219" s="23" t="s">
        <v>242</v>
      </c>
      <c r="B219" s="23">
        <v>63.650199999999998</v>
      </c>
      <c r="C219" s="23">
        <v>43.24</v>
      </c>
      <c r="D219" s="23">
        <v>1.1962263000000001E-2</v>
      </c>
      <c r="E219" s="23"/>
      <c r="F219" s="23"/>
      <c r="G219" s="23"/>
      <c r="H219" s="23"/>
      <c r="I219" s="23" t="s">
        <v>242</v>
      </c>
      <c r="J219" s="23">
        <v>8976.8667000000005</v>
      </c>
      <c r="K219" s="23">
        <v>7307.0320000000002</v>
      </c>
      <c r="L219" s="23">
        <v>-1.303387E-3</v>
      </c>
      <c r="P219">
        <v>189</v>
      </c>
      <c r="Q219">
        <v>2.0397591555264782E-2</v>
      </c>
      <c r="R219">
        <v>-4.8278865555264783E-2</v>
      </c>
      <c r="S219">
        <v>-1.3437867704741504</v>
      </c>
    </row>
    <row r="220" spans="1:19">
      <c r="A220" s="24">
        <v>44988</v>
      </c>
      <c r="B220" s="23">
        <v>62.3401</v>
      </c>
      <c r="C220" s="23">
        <v>42.35</v>
      </c>
      <c r="D220" s="23">
        <v>-2.058281E-2</v>
      </c>
      <c r="E220" s="23"/>
      <c r="F220" s="23"/>
      <c r="G220" s="23"/>
      <c r="H220" s="23"/>
      <c r="I220" s="24">
        <v>44988</v>
      </c>
      <c r="J220" s="23">
        <v>8983.7302999999993</v>
      </c>
      <c r="K220" s="23">
        <v>7283.57</v>
      </c>
      <c r="L220" s="23">
        <v>7.6458699999999995E-4</v>
      </c>
      <c r="P220">
        <v>190</v>
      </c>
      <c r="Q220">
        <v>5.0430945634708938E-3</v>
      </c>
      <c r="R220">
        <v>5.6444904365291057E-3</v>
      </c>
      <c r="S220">
        <v>0.15710790813825443</v>
      </c>
    </row>
    <row r="221" spans="1:19">
      <c r="A221" s="24">
        <v>45202</v>
      </c>
      <c r="B221" s="23">
        <v>64.018199999999993</v>
      </c>
      <c r="C221" s="23">
        <v>43.49</v>
      </c>
      <c r="D221" s="23">
        <v>2.6918468000000001E-2</v>
      </c>
      <c r="E221" s="23"/>
      <c r="F221" s="23"/>
      <c r="G221" s="23"/>
      <c r="H221" s="23"/>
      <c r="I221" s="24">
        <v>45202</v>
      </c>
      <c r="J221" s="23">
        <v>8902.5686000000005</v>
      </c>
      <c r="K221" s="23">
        <v>7144.6880000000001</v>
      </c>
      <c r="L221" s="23">
        <v>-9.0342979999999996E-3</v>
      </c>
      <c r="P221">
        <v>191</v>
      </c>
      <c r="Q221">
        <v>-2.4061721054463255E-2</v>
      </c>
      <c r="R221">
        <v>-4.7450288945536746E-2</v>
      </c>
      <c r="S221">
        <v>-1.3207242922309053</v>
      </c>
    </row>
    <row r="222" spans="1:19">
      <c r="A222" s="23" t="s">
        <v>243</v>
      </c>
      <c r="B222" s="23">
        <v>62.178199999999997</v>
      </c>
      <c r="C222" s="23">
        <v>42.24</v>
      </c>
      <c r="D222" s="23">
        <v>-2.8741827000000001E-2</v>
      </c>
      <c r="E222" s="23"/>
      <c r="F222" s="23"/>
      <c r="G222" s="23"/>
      <c r="H222" s="23"/>
      <c r="I222" s="23" t="s">
        <v>243</v>
      </c>
      <c r="J222" s="23">
        <v>8718.7023000000008</v>
      </c>
      <c r="K222" s="23">
        <v>6994.7960000000003</v>
      </c>
      <c r="L222" s="23">
        <v>-2.0653174E-2</v>
      </c>
      <c r="P222">
        <v>192</v>
      </c>
      <c r="Q222">
        <v>2.1374891909268334E-2</v>
      </c>
      <c r="R222">
        <v>1.7388125090731663E-2</v>
      </c>
      <c r="S222">
        <v>0.48397849020557204</v>
      </c>
    </row>
    <row r="223" spans="1:19">
      <c r="A223" s="23" t="s">
        <v>244</v>
      </c>
      <c r="B223" s="23">
        <v>61.589300000000001</v>
      </c>
      <c r="C223" s="23">
        <v>41.84</v>
      </c>
      <c r="D223" s="23">
        <v>-9.4711650000000001E-3</v>
      </c>
      <c r="E223" s="23"/>
      <c r="F223" s="23"/>
      <c r="G223" s="23"/>
      <c r="H223" s="23"/>
      <c r="I223" s="23" t="s">
        <v>244</v>
      </c>
      <c r="J223" s="23">
        <v>8670.8217999999997</v>
      </c>
      <c r="K223" s="23">
        <v>6955.2380000000003</v>
      </c>
      <c r="L223" s="23">
        <v>-5.4917000000000004E-3</v>
      </c>
      <c r="P223">
        <v>193</v>
      </c>
      <c r="Q223">
        <v>-1.8168531512384005E-2</v>
      </c>
      <c r="R223">
        <v>2.7681276512384004E-2</v>
      </c>
      <c r="S223">
        <v>0.77047653749440814</v>
      </c>
    </row>
    <row r="224" spans="1:19">
      <c r="A224" s="23" t="s">
        <v>245</v>
      </c>
      <c r="B224" s="23">
        <v>62.5167</v>
      </c>
      <c r="C224" s="23">
        <v>42.47</v>
      </c>
      <c r="D224" s="23">
        <v>1.505781E-2</v>
      </c>
      <c r="E224" s="23"/>
      <c r="F224" s="23"/>
      <c r="G224" s="23"/>
      <c r="H224" s="23"/>
      <c r="I224" s="23" t="s">
        <v>245</v>
      </c>
      <c r="J224" s="23">
        <v>8950.5206999999991</v>
      </c>
      <c r="K224" s="23">
        <v>7177.7539999999999</v>
      </c>
      <c r="L224" s="23">
        <v>3.2257485000000002E-2</v>
      </c>
      <c r="P224">
        <v>194</v>
      </c>
      <c r="Q224">
        <v>-2.0893969198617517E-2</v>
      </c>
      <c r="R224">
        <v>-5.0861897801382484E-2</v>
      </c>
      <c r="S224">
        <v>-1.4156825062193865</v>
      </c>
    </row>
    <row r="225" spans="1:19">
      <c r="A225" s="24">
        <v>45111</v>
      </c>
      <c r="B225" s="23">
        <v>64.695300000000003</v>
      </c>
      <c r="C225" s="23">
        <v>43.95</v>
      </c>
      <c r="D225" s="23">
        <v>3.4848288999999998E-2</v>
      </c>
      <c r="E225" s="23"/>
      <c r="F225" s="23"/>
      <c r="G225" s="23"/>
      <c r="H225" s="23"/>
      <c r="I225" s="24">
        <v>45111</v>
      </c>
      <c r="J225" s="23">
        <v>9002.1977000000006</v>
      </c>
      <c r="K225" s="23">
        <v>7218.9809999999998</v>
      </c>
      <c r="L225" s="23">
        <v>5.7736310000000004E-3</v>
      </c>
      <c r="P225">
        <v>195</v>
      </c>
      <c r="Q225">
        <v>-1.1389006372168128E-2</v>
      </c>
      <c r="R225">
        <v>-5.8445762783187159E-4</v>
      </c>
      <c r="S225">
        <v>-1.6267706772938616E-2</v>
      </c>
    </row>
    <row r="226" spans="1:19">
      <c r="A226" s="23" t="s">
        <v>246</v>
      </c>
      <c r="B226" s="23">
        <v>67.0505</v>
      </c>
      <c r="C226" s="23">
        <v>45.55</v>
      </c>
      <c r="D226" s="23">
        <v>3.6404499E-2</v>
      </c>
      <c r="E226" s="23"/>
      <c r="F226" s="23"/>
      <c r="G226" s="23"/>
      <c r="H226" s="23"/>
      <c r="I226" s="23" t="s">
        <v>246</v>
      </c>
      <c r="J226" s="23">
        <v>9180.2361999999994</v>
      </c>
      <c r="K226" s="23">
        <v>7361.5780000000004</v>
      </c>
      <c r="L226" s="23">
        <v>1.9777225999999998E-2</v>
      </c>
      <c r="P226">
        <v>196</v>
      </c>
      <c r="Q226">
        <v>5.230780609744775E-2</v>
      </c>
      <c r="R226">
        <v>7.2285799025522471E-3</v>
      </c>
      <c r="S226">
        <v>0.2011992189676827</v>
      </c>
    </row>
    <row r="227" spans="1:19">
      <c r="A227" s="23" t="s">
        <v>247</v>
      </c>
      <c r="B227" s="23">
        <v>66.005399999999995</v>
      </c>
      <c r="C227" s="23">
        <v>44.84</v>
      </c>
      <c r="D227" s="23">
        <v>-1.5586759E-2</v>
      </c>
      <c r="E227" s="23"/>
      <c r="F227" s="23"/>
      <c r="G227" s="23"/>
      <c r="H227" s="23"/>
      <c r="I227" s="23" t="s">
        <v>247</v>
      </c>
      <c r="J227" s="23">
        <v>9142.8106000000007</v>
      </c>
      <c r="K227" s="23">
        <v>7330.3810000000003</v>
      </c>
      <c r="L227" s="23">
        <v>-4.0767579999999998E-3</v>
      </c>
      <c r="P227">
        <v>197</v>
      </c>
      <c r="Q227">
        <v>4.2932555926130881E-3</v>
      </c>
      <c r="R227">
        <v>1.9327076407386914E-2</v>
      </c>
      <c r="S227">
        <v>0.53794697305925898</v>
      </c>
    </row>
    <row r="228" spans="1:19">
      <c r="A228" s="23" t="s">
        <v>248</v>
      </c>
      <c r="B228" s="23">
        <v>65.431299999999993</v>
      </c>
      <c r="C228" s="23">
        <v>44.45</v>
      </c>
      <c r="D228" s="23">
        <v>-8.6977730000000007E-3</v>
      </c>
      <c r="E228" s="23"/>
      <c r="F228" s="23"/>
      <c r="G228" s="23"/>
      <c r="H228" s="23"/>
      <c r="I228" s="23" t="s">
        <v>248</v>
      </c>
      <c r="J228" s="23">
        <v>9116.3328000000001</v>
      </c>
      <c r="K228" s="23">
        <v>7309.152</v>
      </c>
      <c r="L228" s="23">
        <v>-2.8960240000000001E-3</v>
      </c>
      <c r="P228">
        <v>198</v>
      </c>
      <c r="Q228">
        <v>-8.1333583561186678E-3</v>
      </c>
      <c r="R228">
        <v>-1.0570915643881332E-2</v>
      </c>
      <c r="S228">
        <v>-0.29422929537947512</v>
      </c>
    </row>
    <row r="229" spans="1:19">
      <c r="A229" s="24">
        <v>45051</v>
      </c>
      <c r="B229" s="23">
        <v>67.918999999999997</v>
      </c>
      <c r="C229" s="23">
        <v>46.14</v>
      </c>
      <c r="D229" s="23">
        <v>3.8020030000000003E-2</v>
      </c>
      <c r="E229" s="23"/>
      <c r="F229" s="23"/>
      <c r="G229" s="23"/>
      <c r="H229" s="23"/>
      <c r="I229" s="24">
        <v>45051</v>
      </c>
      <c r="J229" s="23">
        <v>9005.1504999999997</v>
      </c>
      <c r="K229" s="23">
        <v>7220.01</v>
      </c>
      <c r="L229" s="23">
        <v>-1.2195945999999999E-2</v>
      </c>
      <c r="P229">
        <v>199</v>
      </c>
      <c r="Q229">
        <v>2.2399683650679604E-2</v>
      </c>
      <c r="R229">
        <v>1.4729264349320398E-2</v>
      </c>
      <c r="S229">
        <v>0.40997215538911691</v>
      </c>
    </row>
    <row r="230" spans="1:19">
      <c r="A230" s="24">
        <v>45265</v>
      </c>
      <c r="B230" s="23">
        <v>68.257599999999996</v>
      </c>
      <c r="C230" s="23">
        <v>46.37</v>
      </c>
      <c r="D230" s="23">
        <v>4.9853500000000004E-3</v>
      </c>
      <c r="E230" s="23"/>
      <c r="F230" s="23"/>
      <c r="G230" s="23"/>
      <c r="H230" s="23"/>
      <c r="I230" s="24">
        <v>45265</v>
      </c>
      <c r="J230" s="23">
        <v>9082.3309000000008</v>
      </c>
      <c r="K230" s="23">
        <v>7256.65</v>
      </c>
      <c r="L230" s="23">
        <v>8.5706949999999997E-3</v>
      </c>
      <c r="P230">
        <v>200</v>
      </c>
      <c r="Q230">
        <v>2.1560368985811561E-2</v>
      </c>
      <c r="R230">
        <v>-7.2401269858115604E-3</v>
      </c>
      <c r="S230">
        <v>-0.20152061876742877</v>
      </c>
    </row>
    <row r="231" spans="1:19">
      <c r="A231" s="23" t="s">
        <v>249</v>
      </c>
      <c r="B231" s="23">
        <v>68.3459</v>
      </c>
      <c r="C231" s="23">
        <v>46.43</v>
      </c>
      <c r="D231" s="23">
        <v>1.2936289999999999E-3</v>
      </c>
      <c r="E231" s="23"/>
      <c r="F231" s="23"/>
      <c r="G231" s="23"/>
      <c r="H231" s="23"/>
      <c r="I231" s="23" t="s">
        <v>249</v>
      </c>
      <c r="J231" s="23">
        <v>9134.1553000000004</v>
      </c>
      <c r="K231" s="23">
        <v>7279.5230000000001</v>
      </c>
      <c r="L231" s="23">
        <v>5.7060679999999999E-3</v>
      </c>
      <c r="P231">
        <v>201</v>
      </c>
      <c r="Q231">
        <v>4.8278193966835262E-2</v>
      </c>
      <c r="R231">
        <v>-2.5219874966835261E-2</v>
      </c>
      <c r="S231">
        <v>-0.7019662525966236</v>
      </c>
    </row>
    <row r="232" spans="1:19">
      <c r="A232" s="23" t="s">
        <v>250</v>
      </c>
      <c r="B232" s="23">
        <v>64.813100000000006</v>
      </c>
      <c r="C232" s="23">
        <v>44.03</v>
      </c>
      <c r="D232" s="23">
        <v>-5.1690005999999997E-2</v>
      </c>
      <c r="E232" s="23"/>
      <c r="F232" s="23"/>
      <c r="G232" s="23"/>
      <c r="H232" s="23"/>
      <c r="I232" s="23" t="s">
        <v>250</v>
      </c>
      <c r="J232" s="23">
        <v>8980.4493000000002</v>
      </c>
      <c r="K232" s="23">
        <v>7154.7550000000001</v>
      </c>
      <c r="L232" s="23">
        <v>-1.682761E-2</v>
      </c>
      <c r="P232">
        <v>202</v>
      </c>
      <c r="Q232">
        <v>7.3986499231295097E-3</v>
      </c>
      <c r="R232">
        <v>-2.441665392312951E-2</v>
      </c>
      <c r="S232">
        <v>-0.67960951741065101</v>
      </c>
    </row>
    <row r="233" spans="1:19">
      <c r="A233" s="24">
        <v>44963</v>
      </c>
      <c r="B233" s="23">
        <v>62.399000000000001</v>
      </c>
      <c r="C233" s="23">
        <v>42.39</v>
      </c>
      <c r="D233" s="23">
        <v>-3.7247099999999998E-2</v>
      </c>
      <c r="E233" s="23"/>
      <c r="F233" s="23"/>
      <c r="G233" s="23"/>
      <c r="H233" s="23"/>
      <c r="I233" s="24">
        <v>44963</v>
      </c>
      <c r="J233" s="23">
        <v>8968.4475000000002</v>
      </c>
      <c r="K233" s="23">
        <v>7145.1379999999999</v>
      </c>
      <c r="L233" s="23">
        <v>-1.3364360000000001E-3</v>
      </c>
      <c r="P233">
        <v>203</v>
      </c>
      <c r="Q233">
        <v>2.096034943512759E-2</v>
      </c>
      <c r="R233">
        <v>2.747165656487241E-2</v>
      </c>
      <c r="S233">
        <v>0.76464200702121132</v>
      </c>
    </row>
    <row r="234" spans="1:19">
      <c r="A234" s="24">
        <v>45175</v>
      </c>
      <c r="B234" s="23">
        <v>62.413699999999999</v>
      </c>
      <c r="C234" s="23">
        <v>42.4</v>
      </c>
      <c r="D234" s="23">
        <v>2.3558100000000001E-4</v>
      </c>
      <c r="E234" s="23"/>
      <c r="F234" s="23"/>
      <c r="G234" s="23"/>
      <c r="H234" s="23"/>
      <c r="I234" s="24">
        <v>45175</v>
      </c>
      <c r="J234" s="23">
        <v>8940.4652000000006</v>
      </c>
      <c r="K234" s="23">
        <v>7122.5129999999999</v>
      </c>
      <c r="L234" s="23">
        <v>-3.1200830000000001E-3</v>
      </c>
      <c r="P234">
        <v>204</v>
      </c>
      <c r="Q234">
        <v>1.111869258643017E-2</v>
      </c>
      <c r="R234">
        <v>-7.5486025864301698E-3</v>
      </c>
      <c r="S234">
        <v>-0.21010668280099326</v>
      </c>
    </row>
    <row r="235" spans="1:19">
      <c r="A235" s="23" t="s">
        <v>251</v>
      </c>
      <c r="B235" s="23">
        <v>63.399900000000002</v>
      </c>
      <c r="C235" s="23">
        <v>43.07</v>
      </c>
      <c r="D235" s="23">
        <v>1.5801018E-2</v>
      </c>
      <c r="E235" s="23"/>
      <c r="F235" s="23"/>
      <c r="G235" s="23"/>
      <c r="H235" s="23"/>
      <c r="I235" s="23" t="s">
        <v>251</v>
      </c>
      <c r="J235" s="23">
        <v>9103.2913000000008</v>
      </c>
      <c r="K235" s="23">
        <v>7251.2470000000003</v>
      </c>
      <c r="L235" s="23">
        <v>1.8212262999999999E-2</v>
      </c>
      <c r="P235">
        <v>205</v>
      </c>
      <c r="Q235">
        <v>-7.8249341572541528E-3</v>
      </c>
      <c r="R235">
        <v>1.1544261572541525E-3</v>
      </c>
      <c r="S235">
        <v>3.213212613357011E-2</v>
      </c>
    </row>
    <row r="236" spans="1:19">
      <c r="A236" s="23" t="s">
        <v>252</v>
      </c>
      <c r="B236" s="23">
        <v>61.3538</v>
      </c>
      <c r="C236" s="23">
        <v>41.68</v>
      </c>
      <c r="D236" s="23">
        <v>-3.2272922000000002E-2</v>
      </c>
      <c r="E236" s="23"/>
      <c r="F236" s="23"/>
      <c r="G236" s="23"/>
      <c r="H236" s="23"/>
      <c r="I236" s="23" t="s">
        <v>252</v>
      </c>
      <c r="J236" s="23">
        <v>8912.7662</v>
      </c>
      <c r="K236" s="23">
        <v>7099.2309999999998</v>
      </c>
      <c r="L236" s="23">
        <v>-2.0929254000000001E-2</v>
      </c>
      <c r="P236">
        <v>206</v>
      </c>
      <c r="Q236">
        <v>-4.7271990755731134E-3</v>
      </c>
      <c r="R236">
        <v>-4.4747924924426891E-2</v>
      </c>
      <c r="S236">
        <v>-1.2455070935911423</v>
      </c>
    </row>
    <row r="237" spans="1:19">
      <c r="A237" s="23" t="s">
        <v>253</v>
      </c>
      <c r="B237" s="23">
        <v>64.400899999999993</v>
      </c>
      <c r="C237" s="23">
        <v>43.75</v>
      </c>
      <c r="D237" s="23">
        <v>4.9664405000000002E-2</v>
      </c>
      <c r="E237" s="23"/>
      <c r="F237" s="23"/>
      <c r="G237" s="23"/>
      <c r="H237" s="23"/>
      <c r="I237" s="23" t="s">
        <v>253</v>
      </c>
      <c r="J237" s="23">
        <v>9057.8534999999993</v>
      </c>
      <c r="K237" s="23">
        <v>7203.299</v>
      </c>
      <c r="L237" s="23">
        <v>1.6278594E-2</v>
      </c>
      <c r="P237">
        <v>207</v>
      </c>
      <c r="Q237">
        <v>-1.2303081374784447E-3</v>
      </c>
      <c r="R237">
        <v>-6.0697958625215553E-3</v>
      </c>
      <c r="S237">
        <v>-0.1689457961724152</v>
      </c>
    </row>
    <row r="238" spans="1:19">
      <c r="A238" s="24">
        <v>45114</v>
      </c>
      <c r="B238" s="23">
        <v>63.7532</v>
      </c>
      <c r="C238" s="23">
        <v>43.31</v>
      </c>
      <c r="D238" s="23">
        <v>-1.0057313E-2</v>
      </c>
      <c r="E238" s="23"/>
      <c r="F238" s="23"/>
      <c r="G238" s="23"/>
      <c r="H238" s="23"/>
      <c r="I238" s="24">
        <v>45114</v>
      </c>
      <c r="J238" s="23">
        <v>8855.5535</v>
      </c>
      <c r="K238" s="23">
        <v>7042.2719999999999</v>
      </c>
      <c r="L238" s="23">
        <v>-2.233421E-2</v>
      </c>
      <c r="P238">
        <v>208</v>
      </c>
      <c r="Q238">
        <v>-3.9600810266728365E-3</v>
      </c>
      <c r="R238">
        <v>-7.8501797332716349E-4</v>
      </c>
      <c r="S238">
        <v>-2.1850073629711374E-2</v>
      </c>
    </row>
    <row r="239" spans="1:19">
      <c r="A239" s="23" t="s">
        <v>254</v>
      </c>
      <c r="B239" s="23">
        <v>66.108500000000006</v>
      </c>
      <c r="C239" s="23">
        <v>44.91</v>
      </c>
      <c r="D239" s="23">
        <v>3.6944027999999997E-2</v>
      </c>
      <c r="E239" s="23"/>
      <c r="F239" s="23"/>
      <c r="G239" s="23"/>
      <c r="H239" s="23"/>
      <c r="I239" s="23" t="s">
        <v>254</v>
      </c>
      <c r="J239" s="23">
        <v>9183.6193999999996</v>
      </c>
      <c r="K239" s="23">
        <v>7303.0789999999997</v>
      </c>
      <c r="L239" s="23">
        <v>3.7046346000000001E-2</v>
      </c>
      <c r="P239">
        <v>209</v>
      </c>
      <c r="Q239">
        <v>1.551369218427461E-2</v>
      </c>
      <c r="R239">
        <v>3.6453273815725391E-2</v>
      </c>
      <c r="S239">
        <v>1.0146350070709502</v>
      </c>
    </row>
    <row r="240" spans="1:19">
      <c r="A240" s="23" t="s">
        <v>255</v>
      </c>
      <c r="B240" s="23">
        <v>65.136899999999997</v>
      </c>
      <c r="C240" s="23">
        <v>44.25</v>
      </c>
      <c r="D240" s="23">
        <v>-1.4697050999999999E-2</v>
      </c>
      <c r="E240" s="23"/>
      <c r="F240" s="23"/>
      <c r="G240" s="23"/>
      <c r="H240" s="23"/>
      <c r="I240" s="23" t="s">
        <v>255</v>
      </c>
      <c r="J240" s="23">
        <v>9197.8590000000004</v>
      </c>
      <c r="K240" s="23">
        <v>7313.8869999999997</v>
      </c>
      <c r="L240" s="23">
        <v>1.5505429999999999E-3</v>
      </c>
      <c r="P240">
        <v>210</v>
      </c>
      <c r="Q240">
        <v>3.754412499809999E-2</v>
      </c>
      <c r="R240">
        <v>-5.5940169980999918E-3</v>
      </c>
      <c r="S240">
        <v>-0.15570303795248452</v>
      </c>
    </row>
    <row r="241" spans="1:19">
      <c r="A241" s="23" t="s">
        <v>256</v>
      </c>
      <c r="B241" s="23">
        <v>67.124099999999999</v>
      </c>
      <c r="C241" s="23">
        <v>45.6</v>
      </c>
      <c r="D241" s="23">
        <v>3.0508053E-2</v>
      </c>
      <c r="E241" s="23"/>
      <c r="F241" s="23"/>
      <c r="G241" s="23"/>
      <c r="H241" s="23"/>
      <c r="I241" s="23" t="s">
        <v>256</v>
      </c>
      <c r="J241" s="23">
        <v>9310.7401000000009</v>
      </c>
      <c r="K241" s="23">
        <v>7403.6469999999999</v>
      </c>
      <c r="L241" s="23">
        <v>1.2272541E-2</v>
      </c>
      <c r="P241">
        <v>211</v>
      </c>
      <c r="Q241">
        <v>2.2809921788759999E-2</v>
      </c>
      <c r="R241">
        <v>3.3624821211240004E-2</v>
      </c>
      <c r="S241">
        <v>0.93590827753606076</v>
      </c>
    </row>
    <row r="242" spans="1:19">
      <c r="A242" s="24">
        <v>45024</v>
      </c>
      <c r="B242" s="23">
        <v>67.3155</v>
      </c>
      <c r="C242" s="23">
        <v>45.73</v>
      </c>
      <c r="D242" s="23">
        <v>2.8514349999999998E-3</v>
      </c>
      <c r="E242" s="23"/>
      <c r="F242" s="23"/>
      <c r="G242" s="23"/>
      <c r="H242" s="23"/>
      <c r="I242" s="24">
        <v>45024</v>
      </c>
      <c r="J242" s="23">
        <v>9212.4400999999998</v>
      </c>
      <c r="K242" s="23">
        <v>7325.34</v>
      </c>
      <c r="L242" s="23">
        <v>-1.05577E-2</v>
      </c>
      <c r="P242">
        <v>212</v>
      </c>
      <c r="Q242">
        <v>1.0744218542307216E-2</v>
      </c>
      <c r="R242">
        <v>7.7550744576927837E-3</v>
      </c>
      <c r="S242">
        <v>0.21585359018762482</v>
      </c>
    </row>
    <row r="243" spans="1:19">
      <c r="A243" s="24">
        <v>45238</v>
      </c>
      <c r="B243" s="23">
        <v>69.494100000000003</v>
      </c>
      <c r="C243" s="23">
        <v>47.21</v>
      </c>
      <c r="D243" s="23">
        <v>3.2364017000000002E-2</v>
      </c>
      <c r="E243" s="23"/>
      <c r="F243" s="23"/>
      <c r="G243" s="23"/>
      <c r="H243" s="23"/>
      <c r="I243" s="24">
        <v>45238</v>
      </c>
      <c r="J243" s="23">
        <v>9236.9210999999996</v>
      </c>
      <c r="K243" s="23">
        <v>7340.134</v>
      </c>
      <c r="L243" s="23">
        <v>2.657385E-3</v>
      </c>
      <c r="P243">
        <v>213</v>
      </c>
      <c r="Q243">
        <v>1.3920653576585286E-2</v>
      </c>
      <c r="R243">
        <v>-3.228780457658529E-2</v>
      </c>
      <c r="S243">
        <v>-0.89869395518425998</v>
      </c>
    </row>
    <row r="244" spans="1:19">
      <c r="A244" s="23" t="s">
        <v>257</v>
      </c>
      <c r="B244" s="23">
        <v>67.771799999999999</v>
      </c>
      <c r="C244" s="23">
        <v>46.04</v>
      </c>
      <c r="D244" s="23">
        <v>-2.4783399000000001E-2</v>
      </c>
      <c r="E244" s="23"/>
      <c r="F244" s="23"/>
      <c r="G244" s="23"/>
      <c r="H244" s="23"/>
      <c r="I244" s="23" t="s">
        <v>257</v>
      </c>
      <c r="J244" s="23">
        <v>9026.9285</v>
      </c>
      <c r="K244" s="23">
        <v>7148.0619999999999</v>
      </c>
      <c r="L244" s="23">
        <v>-2.2734047E-2</v>
      </c>
      <c r="P244">
        <v>214</v>
      </c>
      <c r="Q244">
        <v>-1.264704544401102E-2</v>
      </c>
      <c r="R244">
        <v>-1.8122787555988978E-2</v>
      </c>
      <c r="S244">
        <v>-0.50442697610561094</v>
      </c>
    </row>
    <row r="245" spans="1:19">
      <c r="A245" s="23" t="s">
        <v>258</v>
      </c>
      <c r="B245" s="23">
        <v>67.878100000000003</v>
      </c>
      <c r="C245" s="23">
        <v>44.48</v>
      </c>
      <c r="D245" s="23">
        <v>1.5684990000000001E-3</v>
      </c>
      <c r="E245" s="23"/>
      <c r="F245" s="23"/>
      <c r="G245" s="23"/>
      <c r="H245" s="23"/>
      <c r="I245" s="23" t="s">
        <v>258</v>
      </c>
      <c r="J245" s="23">
        <v>8991.8968000000004</v>
      </c>
      <c r="K245" s="23">
        <v>7115.1809999999996</v>
      </c>
      <c r="L245" s="23">
        <v>-3.8807999999999998E-3</v>
      </c>
      <c r="P245">
        <v>215</v>
      </c>
      <c r="Q245">
        <v>-7.0128600642932731E-3</v>
      </c>
      <c r="R245">
        <v>-1.6367820935706726E-2</v>
      </c>
      <c r="S245">
        <v>-0.45557949595387709</v>
      </c>
    </row>
    <row r="246" spans="1:19">
      <c r="A246" s="24">
        <v>44935</v>
      </c>
      <c r="B246" s="23">
        <v>70.060400000000001</v>
      </c>
      <c r="C246" s="23">
        <v>45.91</v>
      </c>
      <c r="D246" s="23">
        <v>3.2150281000000003E-2</v>
      </c>
      <c r="E246" s="23"/>
      <c r="F246" s="23"/>
      <c r="G246" s="23"/>
      <c r="H246" s="23"/>
      <c r="I246" s="24">
        <v>44935</v>
      </c>
      <c r="J246" s="23">
        <v>9244.4817000000003</v>
      </c>
      <c r="K246" s="23">
        <v>7278.2969999999996</v>
      </c>
      <c r="L246" s="23">
        <v>2.8090279999999999E-2</v>
      </c>
      <c r="P246">
        <v>216</v>
      </c>
      <c r="Q246">
        <v>3.4041494240597686E-3</v>
      </c>
      <c r="R246">
        <v>8.5581135759402321E-3</v>
      </c>
      <c r="S246">
        <v>0.23820526168742193</v>
      </c>
    </row>
    <row r="247" spans="1:19">
      <c r="A247" s="24">
        <v>45147</v>
      </c>
      <c r="B247" s="23">
        <v>70.167199999999994</v>
      </c>
      <c r="C247" s="23">
        <v>45.98</v>
      </c>
      <c r="D247" s="23">
        <v>1.5243990000000001E-3</v>
      </c>
      <c r="E247" s="23"/>
      <c r="F247" s="23"/>
      <c r="G247" s="23"/>
      <c r="H247" s="23"/>
      <c r="I247" s="24">
        <v>45147</v>
      </c>
      <c r="J247" s="23">
        <v>9154.3963999999996</v>
      </c>
      <c r="K247" s="23">
        <v>7156.6909999999998</v>
      </c>
      <c r="L247" s="23">
        <v>-9.7447650000000007E-3</v>
      </c>
      <c r="P247">
        <v>217</v>
      </c>
      <c r="Q247">
        <v>5.6052510709612745E-3</v>
      </c>
      <c r="R247">
        <v>-2.6188061070961274E-2</v>
      </c>
      <c r="S247">
        <v>-0.7289146007634244</v>
      </c>
    </row>
    <row r="248" spans="1:19">
      <c r="A248" s="23" t="s">
        <v>259</v>
      </c>
      <c r="B248" s="23">
        <v>70.777600000000007</v>
      </c>
      <c r="C248" s="23">
        <v>46.38</v>
      </c>
      <c r="D248" s="23">
        <v>8.699221E-3</v>
      </c>
      <c r="E248" s="23"/>
      <c r="F248" s="23"/>
      <c r="G248" s="23"/>
      <c r="H248" s="23"/>
      <c r="I248" s="23" t="s">
        <v>259</v>
      </c>
      <c r="J248" s="23">
        <v>9325.4454000000005</v>
      </c>
      <c r="K248" s="23">
        <v>7279.0330000000004</v>
      </c>
      <c r="L248" s="23">
        <v>1.8684902E-2</v>
      </c>
      <c r="P248">
        <v>218</v>
      </c>
      <c r="Q248">
        <v>-4.8244457778861775E-3</v>
      </c>
      <c r="R248">
        <v>3.1742913777886177E-2</v>
      </c>
      <c r="S248">
        <v>0.88352754565446701</v>
      </c>
    </row>
    <row r="249" spans="1:19">
      <c r="A249" s="23" t="s">
        <v>260</v>
      </c>
      <c r="B249" s="23">
        <v>70.090900000000005</v>
      </c>
      <c r="C249" s="23">
        <v>45.93</v>
      </c>
      <c r="D249" s="23">
        <v>-9.7022219999999999E-3</v>
      </c>
      <c r="E249" s="23"/>
      <c r="F249" s="23"/>
      <c r="G249" s="23"/>
      <c r="H249" s="23"/>
      <c r="I249" s="23" t="s">
        <v>260</v>
      </c>
      <c r="J249" s="23">
        <v>9057.8593000000001</v>
      </c>
      <c r="K249" s="23">
        <v>7068.8370000000004</v>
      </c>
      <c r="L249" s="23">
        <v>-2.8694190000000001E-2</v>
      </c>
      <c r="P249">
        <v>219</v>
      </c>
      <c r="Q249">
        <v>-1.7191297149685036E-2</v>
      </c>
      <c r="R249">
        <v>-1.1550529850314965E-2</v>
      </c>
      <c r="S249">
        <v>-0.32149573164789108</v>
      </c>
    </row>
    <row r="250" spans="1:19">
      <c r="A250" s="23" t="s">
        <v>261</v>
      </c>
      <c r="B250" s="23">
        <v>69.312600000000003</v>
      </c>
      <c r="C250" s="23">
        <v>45.42</v>
      </c>
      <c r="D250" s="23">
        <v>-1.1104152000000001E-2</v>
      </c>
      <c r="E250" s="23"/>
      <c r="F250" s="23"/>
      <c r="G250" s="23"/>
      <c r="H250" s="23"/>
      <c r="I250" s="23" t="s">
        <v>261</v>
      </c>
      <c r="J250" s="23">
        <v>9033.7360000000008</v>
      </c>
      <c r="K250" s="23">
        <v>7048.6369999999997</v>
      </c>
      <c r="L250" s="23">
        <v>-2.6632449999999998E-3</v>
      </c>
      <c r="P250">
        <v>220</v>
      </c>
      <c r="Q250">
        <v>-1.0537899127205713E-3</v>
      </c>
      <c r="R250">
        <v>-8.417375087279428E-3</v>
      </c>
      <c r="S250">
        <v>-0.23428796750530353</v>
      </c>
    </row>
    <row r="251" spans="1:19">
      <c r="A251" s="24">
        <v>45087</v>
      </c>
      <c r="B251" s="23">
        <v>68.915800000000004</v>
      </c>
      <c r="C251" s="23">
        <v>45.16</v>
      </c>
      <c r="D251" s="23">
        <v>-5.7247890000000001E-3</v>
      </c>
      <c r="E251" s="23"/>
      <c r="F251" s="23"/>
      <c r="G251" s="23"/>
      <c r="H251" s="23"/>
      <c r="I251" s="24">
        <v>45087</v>
      </c>
      <c r="J251" s="23">
        <v>8913.0146000000004</v>
      </c>
      <c r="K251" s="23">
        <v>6954.1689999999999</v>
      </c>
      <c r="L251" s="23">
        <v>-1.3363397000000001E-2</v>
      </c>
      <c r="P251">
        <v>221</v>
      </c>
      <c r="Q251">
        <v>3.9125532106168266E-2</v>
      </c>
      <c r="R251">
        <v>-2.4067722106168268E-2</v>
      </c>
      <c r="S251">
        <v>-0.66989740106248852</v>
      </c>
    </row>
    <row r="252" spans="1:19">
      <c r="A252" s="23" t="s">
        <v>262</v>
      </c>
      <c r="B252" s="23">
        <v>71.8001</v>
      </c>
      <c r="C252" s="23">
        <v>47.05</v>
      </c>
      <c r="D252" s="23">
        <v>4.1852520999999997E-2</v>
      </c>
      <c r="E252" s="23"/>
      <c r="F252" s="23"/>
      <c r="G252" s="23"/>
      <c r="H252" s="23"/>
      <c r="I252" s="23" t="s">
        <v>262</v>
      </c>
      <c r="J252" s="23">
        <v>9037.85</v>
      </c>
      <c r="K252" s="23">
        <v>7051.027</v>
      </c>
      <c r="L252" s="23">
        <v>1.4005968000000001E-2</v>
      </c>
      <c r="P252">
        <v>222</v>
      </c>
      <c r="Q252">
        <v>1.0936756688441043E-2</v>
      </c>
      <c r="R252">
        <v>2.3911532311558955E-2</v>
      </c>
      <c r="S252">
        <v>0.66555003752639186</v>
      </c>
    </row>
    <row r="253" spans="1:19">
      <c r="A253" s="23" t="s">
        <v>263</v>
      </c>
      <c r="B253" s="23">
        <v>67.878100000000003</v>
      </c>
      <c r="C253" s="23">
        <v>44.48</v>
      </c>
      <c r="D253" s="23">
        <v>-5.4623879E-2</v>
      </c>
      <c r="E253" s="23"/>
      <c r="F253" s="23"/>
      <c r="G253" s="23"/>
      <c r="H253" s="23"/>
      <c r="I253" s="23" t="s">
        <v>263</v>
      </c>
      <c r="J253" s="23">
        <v>8845.1936999999998</v>
      </c>
      <c r="K253" s="23">
        <v>6900.723</v>
      </c>
      <c r="L253" s="23">
        <v>-2.1316607000000001E-2</v>
      </c>
      <c r="P253">
        <v>223</v>
      </c>
      <c r="Q253">
        <v>2.5841845445379805E-2</v>
      </c>
      <c r="R253">
        <v>1.0562653554620195E-2</v>
      </c>
      <c r="S253">
        <v>0.29399932961458197</v>
      </c>
    </row>
    <row r="254" spans="1:19">
      <c r="A254" s="23" t="s">
        <v>264</v>
      </c>
      <c r="B254" s="23">
        <v>68.122299999999996</v>
      </c>
      <c r="C254" s="23">
        <v>44.64</v>
      </c>
      <c r="D254" s="23">
        <v>3.597626E-3</v>
      </c>
      <c r="E254" s="23"/>
      <c r="F254" s="23"/>
      <c r="G254" s="23"/>
      <c r="H254" s="23"/>
      <c r="I254" s="23" t="s">
        <v>264</v>
      </c>
      <c r="J254" s="23">
        <v>8752.0377000000008</v>
      </c>
      <c r="K254" s="23">
        <v>6826.8590000000004</v>
      </c>
      <c r="L254" s="23">
        <v>-1.0531821E-2</v>
      </c>
      <c r="P254">
        <v>224</v>
      </c>
      <c r="Q254">
        <v>4.5224022424928973E-4</v>
      </c>
      <c r="R254">
        <v>-1.6038999224249291E-2</v>
      </c>
      <c r="S254">
        <v>-0.44642712129429929</v>
      </c>
    </row>
    <row r="255" spans="1:19">
      <c r="A255" s="24">
        <v>44996</v>
      </c>
      <c r="B255" s="23">
        <v>71.082800000000006</v>
      </c>
      <c r="C255" s="23">
        <v>46.58</v>
      </c>
      <c r="D255" s="23">
        <v>4.3458602999999998E-2</v>
      </c>
      <c r="E255" s="23"/>
      <c r="F255" s="23"/>
      <c r="G255" s="23"/>
      <c r="H255" s="23"/>
      <c r="I255" s="24">
        <v>44996</v>
      </c>
      <c r="J255" s="23">
        <v>8946.2911999999997</v>
      </c>
      <c r="K255" s="23">
        <v>6978.2020000000002</v>
      </c>
      <c r="L255" s="23">
        <v>2.2195230999999999E-2</v>
      </c>
      <c r="P255">
        <v>225</v>
      </c>
      <c r="Q255">
        <v>1.7089850150216121E-3</v>
      </c>
      <c r="R255">
        <v>-1.0406758015021613E-2</v>
      </c>
      <c r="S255">
        <v>-0.28966015632873288</v>
      </c>
    </row>
    <row r="256" spans="1:19">
      <c r="A256" s="24">
        <v>45210</v>
      </c>
      <c r="B256" s="23">
        <v>70.747100000000003</v>
      </c>
      <c r="C256" s="23">
        <v>46.36</v>
      </c>
      <c r="D256" s="23">
        <v>-4.7226610000000004E-3</v>
      </c>
      <c r="E256" s="23"/>
      <c r="F256" s="23"/>
      <c r="G256" s="23"/>
      <c r="H256" s="23"/>
      <c r="I256" s="24">
        <v>45210</v>
      </c>
      <c r="J256" s="23">
        <v>8960.3708000000006</v>
      </c>
      <c r="K256" s="23">
        <v>6976.4939999999997</v>
      </c>
      <c r="L256" s="23">
        <v>1.5737920000000001E-3</v>
      </c>
      <c r="P256">
        <v>226</v>
      </c>
      <c r="Q256">
        <v>-8.1896276514120767E-3</v>
      </c>
      <c r="R256">
        <v>4.6209657651412078E-2</v>
      </c>
      <c r="S256">
        <v>1.2861927451262498</v>
      </c>
    </row>
    <row r="257" spans="1:19">
      <c r="A257" s="23" t="s">
        <v>265</v>
      </c>
      <c r="B257" s="23">
        <v>72.196799999999996</v>
      </c>
      <c r="C257" s="23">
        <v>47.31</v>
      </c>
      <c r="D257" s="23">
        <v>2.0491299000000001E-2</v>
      </c>
      <c r="E257" s="23"/>
      <c r="F257" s="23"/>
      <c r="G257" s="23"/>
      <c r="H257" s="23"/>
      <c r="I257" s="23" t="s">
        <v>265</v>
      </c>
      <c r="J257" s="23">
        <v>9091.5722000000005</v>
      </c>
      <c r="K257" s="23">
        <v>7049.3869999999997</v>
      </c>
      <c r="L257" s="23">
        <v>1.4642407E-2</v>
      </c>
      <c r="P257">
        <v>227</v>
      </c>
      <c r="Q257">
        <v>1.3913884145985921E-2</v>
      </c>
      <c r="R257">
        <v>-8.9285341459859197E-3</v>
      </c>
      <c r="S257">
        <v>-0.24851549279608573</v>
      </c>
    </row>
    <row r="258" spans="1:19">
      <c r="A258" s="23" t="s">
        <v>266</v>
      </c>
      <c r="B258" s="23">
        <v>70.823400000000007</v>
      </c>
      <c r="C258" s="23">
        <v>46.41</v>
      </c>
      <c r="D258" s="23">
        <v>-1.9023004E-2</v>
      </c>
      <c r="E258" s="23"/>
      <c r="F258" s="23"/>
      <c r="G258" s="23"/>
      <c r="H258" s="23"/>
      <c r="I258" s="23" t="s">
        <v>266</v>
      </c>
      <c r="J258" s="23">
        <v>9081.6458999999995</v>
      </c>
      <c r="K258" s="23">
        <v>7040.7550000000001</v>
      </c>
      <c r="L258" s="23">
        <v>-1.0918130000000001E-3</v>
      </c>
      <c r="P258">
        <v>228</v>
      </c>
      <c r="Q258">
        <v>1.0864844260833343E-2</v>
      </c>
      <c r="R258">
        <v>-9.5712152608333437E-3</v>
      </c>
      <c r="S258">
        <v>-0.26640378345562815</v>
      </c>
    </row>
    <row r="259" spans="1:19">
      <c r="A259" s="24">
        <v>44938</v>
      </c>
      <c r="B259" s="23">
        <v>72.883499999999998</v>
      </c>
      <c r="C259" s="23">
        <v>47.76</v>
      </c>
      <c r="D259" s="23">
        <v>2.9087844000000002E-2</v>
      </c>
      <c r="E259" s="23"/>
      <c r="F259" s="23"/>
      <c r="G259" s="23"/>
      <c r="H259" s="23"/>
      <c r="I259" s="24">
        <v>44938</v>
      </c>
      <c r="J259" s="23">
        <v>9126.1689999999999</v>
      </c>
      <c r="K259" s="23">
        <v>7073.1779999999999</v>
      </c>
      <c r="L259" s="23">
        <v>4.9025359999999999E-3</v>
      </c>
      <c r="P259">
        <v>229</v>
      </c>
      <c r="Q259">
        <v>-1.311945909914518E-2</v>
      </c>
      <c r="R259">
        <v>-3.8570546900854819E-2</v>
      </c>
      <c r="S259">
        <v>-1.0735668715328659</v>
      </c>
    </row>
    <row r="260" spans="1:19">
      <c r="A260" s="24">
        <v>45150</v>
      </c>
      <c r="B260" s="23">
        <v>74.867400000000004</v>
      </c>
      <c r="C260" s="23">
        <v>49.06</v>
      </c>
      <c r="D260" s="23">
        <v>2.7220153E-2</v>
      </c>
      <c r="E260" s="23"/>
      <c r="F260" s="23"/>
      <c r="G260" s="23"/>
      <c r="H260" s="23"/>
      <c r="I260" s="24">
        <v>45150</v>
      </c>
      <c r="J260" s="23">
        <v>9283.9228999999996</v>
      </c>
      <c r="K260" s="23">
        <v>7194.9170000000004</v>
      </c>
      <c r="L260" s="23">
        <v>1.7285884000000001E-2</v>
      </c>
      <c r="P260">
        <v>230</v>
      </c>
      <c r="Q260">
        <v>3.3689728655883142E-3</v>
      </c>
      <c r="R260">
        <v>-4.0616072865588312E-2</v>
      </c>
      <c r="S260">
        <v>-1.1305017373060424</v>
      </c>
    </row>
    <row r="261" spans="1:19">
      <c r="A261" s="23" t="s">
        <v>267</v>
      </c>
      <c r="B261" s="23">
        <v>77.675299999999993</v>
      </c>
      <c r="C261" s="23">
        <v>50.9</v>
      </c>
      <c r="D261" s="23">
        <v>3.7504975000000003E-2</v>
      </c>
      <c r="E261" s="23"/>
      <c r="F261" s="23"/>
      <c r="G261" s="23"/>
      <c r="H261" s="23"/>
      <c r="I261" s="23" t="s">
        <v>267</v>
      </c>
      <c r="J261" s="23">
        <v>9604.3022000000001</v>
      </c>
      <c r="K261" s="23">
        <v>7442.6909999999998</v>
      </c>
      <c r="L261" s="23">
        <v>3.4509044000000003E-2</v>
      </c>
      <c r="P261">
        <v>231</v>
      </c>
      <c r="Q261">
        <v>1.4705020196342888E-3</v>
      </c>
      <c r="R261">
        <v>-1.2349210196342889E-3</v>
      </c>
      <c r="S261">
        <v>-3.4372608172936692E-2</v>
      </c>
    </row>
    <row r="262" spans="1:19">
      <c r="A262" s="23" t="s">
        <v>268</v>
      </c>
      <c r="B262" s="23">
        <v>78.941900000000004</v>
      </c>
      <c r="C262" s="23">
        <v>51.73</v>
      </c>
      <c r="D262" s="23">
        <v>1.6306342000000001E-2</v>
      </c>
      <c r="E262" s="23"/>
      <c r="F262" s="23"/>
      <c r="G262" s="23"/>
      <c r="H262" s="23"/>
      <c r="I262" s="23" t="s">
        <v>268</v>
      </c>
      <c r="J262" s="23">
        <v>9680.2584000000006</v>
      </c>
      <c r="K262" s="23">
        <v>7501.5519999999997</v>
      </c>
      <c r="L262" s="23">
        <v>7.9085600000000002E-3</v>
      </c>
      <c r="P262">
        <v>232</v>
      </c>
      <c r="Q262">
        <v>2.4176136574455935E-2</v>
      </c>
      <c r="R262">
        <v>-8.375118574455935E-3</v>
      </c>
      <c r="S262">
        <v>-0.23311180600594972</v>
      </c>
    </row>
    <row r="263" spans="1:19">
      <c r="A263" s="23" t="s">
        <v>269</v>
      </c>
      <c r="B263" s="23">
        <v>80.925799999999995</v>
      </c>
      <c r="C263" s="23">
        <v>53.03</v>
      </c>
      <c r="D263" s="23">
        <v>2.5131140999999999E-2</v>
      </c>
      <c r="E263" s="23"/>
      <c r="F263" s="23"/>
      <c r="G263" s="23"/>
      <c r="H263" s="23"/>
      <c r="I263" s="23" t="s">
        <v>269</v>
      </c>
      <c r="J263" s="23">
        <v>9808.4778999999999</v>
      </c>
      <c r="K263" s="23">
        <v>7590.8180000000002</v>
      </c>
      <c r="L263" s="23">
        <v>1.3245463000000001E-2</v>
      </c>
      <c r="P263">
        <v>233</v>
      </c>
      <c r="Q263">
        <v>-1.7485150042746832E-2</v>
      </c>
      <c r="R263">
        <v>-1.4787771957253171E-2</v>
      </c>
      <c r="S263">
        <v>-0.41160064745511521</v>
      </c>
    </row>
    <row r="264" spans="1:19">
      <c r="A264" s="24">
        <v>45413</v>
      </c>
      <c r="B264" s="23">
        <v>80.406899999999993</v>
      </c>
      <c r="C264" s="23">
        <v>52.69</v>
      </c>
      <c r="D264" s="23">
        <v>-6.4120469999999997E-3</v>
      </c>
      <c r="E264" s="23"/>
      <c r="F264" s="23"/>
      <c r="G264" s="23"/>
      <c r="H264" s="23"/>
      <c r="I264" s="24">
        <v>45413</v>
      </c>
      <c r="J264" s="23">
        <v>9677.0067999999992</v>
      </c>
      <c r="K264" s="23">
        <v>7489.0720000000001</v>
      </c>
      <c r="L264" s="23">
        <v>-1.3403823E-2</v>
      </c>
      <c r="P264">
        <v>234</v>
      </c>
      <c r="Q264">
        <v>2.2117985930172022E-2</v>
      </c>
      <c r="R264">
        <v>2.7546419069827979E-2</v>
      </c>
      <c r="S264">
        <v>0.7667229354757501</v>
      </c>
    </row>
    <row r="265" spans="1:19">
      <c r="A265" s="24">
        <v>45627</v>
      </c>
      <c r="B265" s="23">
        <v>88.296499999999995</v>
      </c>
      <c r="C265" s="23">
        <v>57.86</v>
      </c>
      <c r="D265" s="23">
        <v>9.8120931999999994E-2</v>
      </c>
      <c r="E265" s="23"/>
      <c r="F265" s="23"/>
      <c r="G265" s="23"/>
      <c r="H265" s="23"/>
      <c r="I265" s="24">
        <v>45627</v>
      </c>
      <c r="J265" s="23">
        <v>9689.2826000000005</v>
      </c>
      <c r="K265" s="23">
        <v>7498.2839999999997</v>
      </c>
      <c r="L265" s="23">
        <v>1.268553E-3</v>
      </c>
      <c r="P265">
        <v>235</v>
      </c>
      <c r="Q265">
        <v>-1.8980551322174979E-2</v>
      </c>
      <c r="R265">
        <v>8.9232383221749794E-3</v>
      </c>
      <c r="S265">
        <v>0.24836808962299836</v>
      </c>
    </row>
    <row r="266" spans="1:19">
      <c r="A266" s="23" t="s">
        <v>270</v>
      </c>
      <c r="B266" s="23">
        <v>87.335099999999997</v>
      </c>
      <c r="C266" s="23">
        <v>57.23</v>
      </c>
      <c r="D266" s="23">
        <v>-1.0888314E-2</v>
      </c>
      <c r="E266" s="23"/>
      <c r="F266" s="23"/>
      <c r="G266" s="23"/>
      <c r="H266" s="23"/>
      <c r="I266" s="23" t="s">
        <v>270</v>
      </c>
      <c r="J266" s="23">
        <v>9589.7224999999999</v>
      </c>
      <c r="K266" s="23">
        <v>7421.2370000000001</v>
      </c>
      <c r="L266" s="23">
        <v>-1.0275281000000001E-2</v>
      </c>
      <c r="P266">
        <v>236</v>
      </c>
      <c r="Q266">
        <v>4.4222680249173155E-2</v>
      </c>
      <c r="R266">
        <v>-7.2786522491731578E-3</v>
      </c>
      <c r="S266">
        <v>-0.20259292522365827</v>
      </c>
    </row>
    <row r="267" spans="1:19">
      <c r="A267" s="23" t="s">
        <v>271</v>
      </c>
      <c r="B267" s="23">
        <v>87.655600000000007</v>
      </c>
      <c r="C267" s="23">
        <v>57.44</v>
      </c>
      <c r="D267" s="23">
        <v>3.6697729999999999E-3</v>
      </c>
      <c r="E267" s="23"/>
      <c r="F267" s="23"/>
      <c r="G267" s="23"/>
      <c r="H267" s="23"/>
      <c r="I267" s="23" t="s">
        <v>271</v>
      </c>
      <c r="J267" s="23">
        <v>9763.0401000000002</v>
      </c>
      <c r="K267" s="23">
        <v>7555.3630000000003</v>
      </c>
      <c r="L267" s="23">
        <v>1.8073265000000002E-2</v>
      </c>
      <c r="P267">
        <v>237</v>
      </c>
      <c r="Q267">
        <v>6.4418036804196714E-3</v>
      </c>
      <c r="R267">
        <v>-2.1138854680419671E-2</v>
      </c>
      <c r="S267">
        <v>-0.588375740312437</v>
      </c>
    </row>
    <row r="268" spans="1:19">
      <c r="A268" s="24">
        <v>45324</v>
      </c>
      <c r="B268" s="23">
        <v>86.221100000000007</v>
      </c>
      <c r="C268" s="23">
        <v>56.5</v>
      </c>
      <c r="D268" s="23">
        <v>-1.6365184000000001E-2</v>
      </c>
      <c r="E268" s="23"/>
      <c r="F268" s="23"/>
      <c r="G268" s="23"/>
      <c r="H268" s="23"/>
      <c r="I268" s="24">
        <v>45324</v>
      </c>
      <c r="J268" s="23">
        <v>9949.3925999999992</v>
      </c>
      <c r="K268" s="23">
        <v>7699.4</v>
      </c>
      <c r="L268" s="23">
        <v>1.9087547999999999E-2</v>
      </c>
      <c r="P268">
        <v>238</v>
      </c>
      <c r="Q268">
        <v>1.7854039741354022E-2</v>
      </c>
      <c r="R268">
        <v>1.2654013258645978E-2</v>
      </c>
      <c r="S268">
        <v>0.35220992487713187</v>
      </c>
    </row>
    <row r="269" spans="1:19">
      <c r="A269" s="24">
        <v>45537</v>
      </c>
      <c r="B269" s="23">
        <v>86.297399999999996</v>
      </c>
      <c r="C269" s="23">
        <v>56.55</v>
      </c>
      <c r="D269" s="23">
        <v>8.8493399999999998E-4</v>
      </c>
      <c r="E269" s="23"/>
      <c r="F269" s="23"/>
      <c r="G269" s="23"/>
      <c r="H269" s="23"/>
      <c r="I269" s="24">
        <v>45537</v>
      </c>
      <c r="J269" s="23">
        <v>9879.0524000000005</v>
      </c>
      <c r="K269" s="23">
        <v>7644.8410000000003</v>
      </c>
      <c r="L269" s="23">
        <v>-7.0697980000000004E-3</v>
      </c>
      <c r="P269">
        <v>239</v>
      </c>
      <c r="Q269">
        <v>-6.4459181228445992E-3</v>
      </c>
      <c r="R269">
        <v>9.2973531228445986E-3</v>
      </c>
      <c r="S269">
        <v>0.25878114539795094</v>
      </c>
    </row>
    <row r="270" spans="1:19">
      <c r="A270" s="23" t="s">
        <v>272</v>
      </c>
      <c r="B270" s="23">
        <v>98.368399999999994</v>
      </c>
      <c r="C270" s="23">
        <v>64.459999999999994</v>
      </c>
      <c r="D270" s="23">
        <v>0.13987675199999999</v>
      </c>
      <c r="E270" s="23"/>
      <c r="F270" s="23"/>
      <c r="G270" s="23"/>
      <c r="H270" s="23"/>
      <c r="I270" s="23" t="s">
        <v>272</v>
      </c>
      <c r="J270" s="23">
        <v>9898.4850000000006</v>
      </c>
      <c r="K270" s="23">
        <v>7658.317</v>
      </c>
      <c r="L270" s="23">
        <v>1.967051E-3</v>
      </c>
      <c r="P270">
        <v>240</v>
      </c>
      <c r="Q270">
        <v>7.6198996086372199E-3</v>
      </c>
      <c r="R270">
        <v>2.4744117391362782E-2</v>
      </c>
      <c r="S270">
        <v>0.68872408693013853</v>
      </c>
    </row>
    <row r="271" spans="1:19">
      <c r="A271" s="23" t="s">
        <v>273</v>
      </c>
      <c r="B271" s="23">
        <v>99.149100000000004</v>
      </c>
      <c r="C271" s="23">
        <v>62.7</v>
      </c>
      <c r="D271" s="23">
        <v>7.9364919999999999E-3</v>
      </c>
      <c r="E271" s="23"/>
      <c r="F271" s="23"/>
      <c r="G271" s="23"/>
      <c r="H271" s="23"/>
      <c r="I271" s="23" t="s">
        <v>273</v>
      </c>
      <c r="J271" s="23">
        <v>9917.1753000000008</v>
      </c>
      <c r="K271" s="23">
        <v>7643.585</v>
      </c>
      <c r="L271" s="23">
        <v>1.888198E-3</v>
      </c>
      <c r="P271">
        <v>241</v>
      </c>
      <c r="Q271">
        <v>-1.9406128181067871E-2</v>
      </c>
      <c r="R271">
        <v>-5.3772708189321304E-3</v>
      </c>
      <c r="S271">
        <v>-0.14967015700619993</v>
      </c>
    </row>
    <row r="272" spans="1:19">
      <c r="A272" s="24">
        <v>45294</v>
      </c>
      <c r="B272" s="23">
        <v>95.116799999999998</v>
      </c>
      <c r="C272" s="23">
        <v>60.15</v>
      </c>
      <c r="D272" s="23">
        <v>-4.0669052999999997E-2</v>
      </c>
      <c r="E272" s="23"/>
      <c r="F272" s="23"/>
      <c r="G272" s="23"/>
      <c r="H272" s="23"/>
      <c r="I272" s="24">
        <v>45294</v>
      </c>
      <c r="J272" s="23">
        <v>10088.456200000001</v>
      </c>
      <c r="K272" s="23">
        <v>7745.6109999999999</v>
      </c>
      <c r="L272" s="23">
        <v>1.7271137999999998E-2</v>
      </c>
      <c r="P272">
        <v>242</v>
      </c>
      <c r="Q272">
        <v>6.6081319302139542E-4</v>
      </c>
      <c r="R272">
        <v>9.0768580697860469E-4</v>
      </c>
      <c r="S272">
        <v>2.5264391885280967E-2</v>
      </c>
    </row>
    <row r="273" spans="1:19">
      <c r="A273" s="24">
        <v>45507</v>
      </c>
      <c r="B273" s="23">
        <v>94.104699999999994</v>
      </c>
      <c r="C273" s="23">
        <v>59.51</v>
      </c>
      <c r="D273" s="23">
        <v>-1.0640602000000001E-2</v>
      </c>
      <c r="E273" s="23"/>
      <c r="F273" s="23"/>
      <c r="G273" s="23"/>
      <c r="H273" s="23"/>
      <c r="I273" s="24">
        <v>45507</v>
      </c>
      <c r="J273" s="23">
        <v>10294.4195</v>
      </c>
      <c r="K273" s="23">
        <v>7846.9750000000004</v>
      </c>
      <c r="L273" s="23">
        <v>2.0415740000000002E-2</v>
      </c>
      <c r="P273">
        <v>243</v>
      </c>
      <c r="Q273">
        <v>3.4690059615471475E-2</v>
      </c>
      <c r="R273">
        <v>-2.5397786154714719E-3</v>
      </c>
      <c r="S273">
        <v>-7.0691820616558404E-2</v>
      </c>
    </row>
    <row r="274" spans="1:19">
      <c r="A274" s="23" t="s">
        <v>274</v>
      </c>
      <c r="B274" s="23">
        <v>96.033900000000003</v>
      </c>
      <c r="C274" s="23">
        <v>60.73</v>
      </c>
      <c r="D274" s="23">
        <v>2.0500569999999999E-2</v>
      </c>
      <c r="E274" s="23"/>
      <c r="F274" s="23"/>
      <c r="G274" s="23"/>
      <c r="H274" s="23"/>
      <c r="I274" s="23" t="s">
        <v>274</v>
      </c>
      <c r="J274" s="23">
        <v>10071.7736</v>
      </c>
      <c r="K274" s="23">
        <v>7670.2759999999998</v>
      </c>
      <c r="L274" s="23">
        <v>-2.1627825E-2</v>
      </c>
      <c r="P274">
        <v>244</v>
      </c>
      <c r="Q274">
        <v>-5.5806497165087968E-3</v>
      </c>
      <c r="R274">
        <v>7.1050487165087968E-3</v>
      </c>
      <c r="S274">
        <v>0.19776087028991293</v>
      </c>
    </row>
    <row r="275" spans="1:19">
      <c r="A275" s="23" t="s">
        <v>275</v>
      </c>
      <c r="B275" s="23">
        <v>97.283199999999994</v>
      </c>
      <c r="C275" s="23">
        <v>61.52</v>
      </c>
      <c r="D275" s="23">
        <v>1.3008947999999999E-2</v>
      </c>
      <c r="E275" s="23"/>
      <c r="F275" s="23"/>
      <c r="G275" s="23"/>
      <c r="H275" s="23"/>
      <c r="I275" s="23" t="s">
        <v>275</v>
      </c>
      <c r="J275" s="23">
        <v>10205.5111</v>
      </c>
      <c r="K275" s="23">
        <v>7770.5510000000004</v>
      </c>
      <c r="L275" s="23">
        <v>1.3278445999999999E-2</v>
      </c>
      <c r="P275">
        <v>245</v>
      </c>
      <c r="Q275">
        <v>2.4679202126193955E-2</v>
      </c>
      <c r="R275">
        <v>-1.5979981126193955E-2</v>
      </c>
      <c r="S275">
        <v>-0.44478442032207943</v>
      </c>
    </row>
    <row r="276" spans="1:19">
      <c r="A276" s="23" t="s">
        <v>276</v>
      </c>
      <c r="B276" s="23">
        <v>101.6002</v>
      </c>
      <c r="C276" s="23">
        <v>64.25</v>
      </c>
      <c r="D276" s="23">
        <v>4.4375596000000003E-2</v>
      </c>
      <c r="E276" s="23"/>
      <c r="F276" s="23"/>
      <c r="G276" s="23"/>
      <c r="H276" s="23"/>
      <c r="I276" s="23" t="s">
        <v>276</v>
      </c>
      <c r="J276" s="23">
        <v>10373.529699999999</v>
      </c>
      <c r="K276" s="23">
        <v>7896.8580000000002</v>
      </c>
      <c r="L276" s="23">
        <v>1.6463516000000001E-2</v>
      </c>
      <c r="P276">
        <v>246</v>
      </c>
      <c r="Q276">
        <v>-2.574996063402351E-2</v>
      </c>
      <c r="R276">
        <v>1.604773863402351E-2</v>
      </c>
      <c r="S276">
        <v>0.44667037272743215</v>
      </c>
    </row>
    <row r="277" spans="1:19">
      <c r="A277" s="24">
        <v>45416</v>
      </c>
      <c r="B277" s="23">
        <v>99.734200000000001</v>
      </c>
      <c r="C277" s="23">
        <v>63.07</v>
      </c>
      <c r="D277" s="23">
        <v>-1.8366106E-2</v>
      </c>
      <c r="E277" s="23"/>
      <c r="F277" s="23"/>
      <c r="G277" s="23"/>
      <c r="H277" s="23"/>
      <c r="I277" s="24">
        <v>45416</v>
      </c>
      <c r="J277" s="23">
        <v>10211.7415</v>
      </c>
      <c r="K277" s="23">
        <v>7773.27</v>
      </c>
      <c r="L277" s="23">
        <v>-1.5596254E-2</v>
      </c>
      <c r="P277">
        <v>247</v>
      </c>
      <c r="Q277">
        <v>1.9567493680860536E-3</v>
      </c>
      <c r="R277">
        <v>-1.3060901368086054E-2</v>
      </c>
      <c r="S277">
        <v>-0.36353518805886353</v>
      </c>
    </row>
    <row r="278" spans="1:19">
      <c r="A278" s="24">
        <v>45630</v>
      </c>
      <c r="B278" s="23">
        <v>99.607699999999994</v>
      </c>
      <c r="C278" s="23">
        <v>62.99</v>
      </c>
      <c r="D278" s="23">
        <v>-1.2683709999999999E-3</v>
      </c>
      <c r="E278" s="23"/>
      <c r="F278" s="23"/>
      <c r="G278" s="23"/>
      <c r="H278" s="23"/>
      <c r="I278" s="24">
        <v>45630</v>
      </c>
      <c r="J278" s="23">
        <v>10231.3307</v>
      </c>
      <c r="K278" s="23">
        <v>7788.0820000000003</v>
      </c>
      <c r="L278" s="23">
        <v>1.918302E-3</v>
      </c>
      <c r="P278">
        <v>248</v>
      </c>
      <c r="Q278">
        <v>-9.4322343373650017E-3</v>
      </c>
      <c r="R278">
        <v>3.7074453373650016E-3</v>
      </c>
      <c r="S278">
        <v>0.10319248265898569</v>
      </c>
    </row>
    <row r="279" spans="1:19">
      <c r="A279" s="23" t="s">
        <v>277</v>
      </c>
      <c r="B279" s="23">
        <v>96.619</v>
      </c>
      <c r="C279" s="23">
        <v>61.1</v>
      </c>
      <c r="D279" s="23">
        <v>-3.0004708000000001E-2</v>
      </c>
      <c r="E279" s="23"/>
      <c r="F279" s="23"/>
      <c r="G279" s="23"/>
      <c r="H279" s="23"/>
      <c r="I279" s="23" t="s">
        <v>277</v>
      </c>
      <c r="J279" s="23">
        <v>9942.4195999999993</v>
      </c>
      <c r="K279" s="23">
        <v>7567.2830000000004</v>
      </c>
      <c r="L279" s="23">
        <v>-2.8237880999999999E-2</v>
      </c>
      <c r="P279">
        <v>249</v>
      </c>
      <c r="Q279">
        <v>1.9699057630594183E-2</v>
      </c>
      <c r="R279">
        <v>2.2153463369405813E-2</v>
      </c>
      <c r="S279">
        <v>0.61661620780865423</v>
      </c>
    </row>
    <row r="280" spans="1:19">
      <c r="A280" s="23" t="s">
        <v>278</v>
      </c>
      <c r="B280" s="23">
        <v>95.701800000000006</v>
      </c>
      <c r="C280" s="23">
        <v>60.52</v>
      </c>
      <c r="D280" s="23">
        <v>-9.4929569999999998E-3</v>
      </c>
      <c r="E280" s="23"/>
      <c r="F280" s="23"/>
      <c r="G280" s="23"/>
      <c r="H280" s="23"/>
      <c r="I280" s="23" t="s">
        <v>278</v>
      </c>
      <c r="J280" s="23">
        <v>9953.7556999999997</v>
      </c>
      <c r="K280" s="23">
        <v>7575.9110000000001</v>
      </c>
      <c r="L280" s="23">
        <v>1.140175E-3</v>
      </c>
      <c r="P280">
        <v>250</v>
      </c>
      <c r="Q280">
        <v>-1.7897439233148758E-2</v>
      </c>
      <c r="R280">
        <v>-3.6726439766851242E-2</v>
      </c>
      <c r="S280">
        <v>-1.0222382675669266</v>
      </c>
    </row>
    <row r="281" spans="1:19">
      <c r="A281" s="24">
        <v>45356</v>
      </c>
      <c r="B281" s="23">
        <v>95.417199999999994</v>
      </c>
      <c r="C281" s="23">
        <v>60.34</v>
      </c>
      <c r="D281" s="23">
        <v>-2.9738210000000002E-3</v>
      </c>
      <c r="E281" s="23"/>
      <c r="F281" s="23"/>
      <c r="G281" s="23"/>
      <c r="H281" s="23"/>
      <c r="I281" s="24">
        <v>45356</v>
      </c>
      <c r="J281" s="23">
        <v>10024.1711</v>
      </c>
      <c r="K281" s="23">
        <v>7628.9660000000003</v>
      </c>
      <c r="L281" s="23">
        <v>7.0742540000000003E-3</v>
      </c>
      <c r="P281">
        <v>251</v>
      </c>
      <c r="Q281">
        <v>-6.4183731394356382E-3</v>
      </c>
      <c r="R281">
        <v>1.0015999139435638E-2</v>
      </c>
      <c r="S281">
        <v>0.27878383184557554</v>
      </c>
    </row>
    <row r="282" spans="1:19">
      <c r="A282" s="24">
        <v>45570</v>
      </c>
      <c r="B282" s="23">
        <v>89.012799999999999</v>
      </c>
      <c r="C282" s="23">
        <v>56.29</v>
      </c>
      <c r="D282" s="23">
        <v>-6.7119973999999999E-2</v>
      </c>
      <c r="E282" s="23"/>
      <c r="F282" s="23"/>
      <c r="G282" s="23"/>
      <c r="H282" s="23"/>
      <c r="I282" s="24">
        <v>45570</v>
      </c>
      <c r="J282" s="23">
        <v>10215.055700000001</v>
      </c>
      <c r="K282" s="23">
        <v>7748.9639999999999</v>
      </c>
      <c r="L282" s="23">
        <v>1.9042432000000001E-2</v>
      </c>
      <c r="P282">
        <v>252</v>
      </c>
      <c r="Q282">
        <v>2.8415511646074823E-2</v>
      </c>
      <c r="R282">
        <v>1.5043091353925175E-2</v>
      </c>
      <c r="S282">
        <v>0.41870716960610782</v>
      </c>
    </row>
    <row r="283" spans="1:19">
      <c r="A283" s="23" t="s">
        <v>279</v>
      </c>
      <c r="B283" s="23">
        <v>90.372799999999998</v>
      </c>
      <c r="C283" s="23">
        <v>57.15</v>
      </c>
      <c r="D283" s="23">
        <v>1.5278701E-2</v>
      </c>
      <c r="E283" s="23"/>
      <c r="F283" s="23"/>
      <c r="G283" s="23"/>
      <c r="H283" s="23"/>
      <c r="I283" s="23" t="s">
        <v>279</v>
      </c>
      <c r="J283" s="23">
        <v>10322.7093</v>
      </c>
      <c r="K283" s="23">
        <v>7814.3720000000003</v>
      </c>
      <c r="L283" s="23">
        <v>1.0538719E-2</v>
      </c>
      <c r="P283">
        <v>253</v>
      </c>
      <c r="Q283">
        <v>6.4665493552631724E-3</v>
      </c>
      <c r="R283">
        <v>-1.1189210355263173E-2</v>
      </c>
      <c r="S283">
        <v>-0.31143881850834754</v>
      </c>
    </row>
    <row r="284" spans="1:19">
      <c r="A284" s="23" t="s">
        <v>280</v>
      </c>
      <c r="B284" s="23">
        <v>90.530900000000003</v>
      </c>
      <c r="C284" s="23">
        <v>57.25</v>
      </c>
      <c r="D284" s="23">
        <v>1.74942E-3</v>
      </c>
      <c r="E284" s="23"/>
      <c r="F284" s="23"/>
      <c r="G284" s="23"/>
      <c r="H284" s="23"/>
      <c r="I284" s="23" t="s">
        <v>280</v>
      </c>
      <c r="J284" s="23">
        <v>10210.413699999999</v>
      </c>
      <c r="K284" s="23">
        <v>7727.5919999999996</v>
      </c>
      <c r="L284" s="23">
        <v>-1.0878501E-2</v>
      </c>
      <c r="P284">
        <v>254</v>
      </c>
      <c r="Q284">
        <v>2.0376467951542292E-2</v>
      </c>
      <c r="R284">
        <v>1.1483104845770933E-4</v>
      </c>
      <c r="S284">
        <v>3.1961903408958344E-3</v>
      </c>
    </row>
    <row r="285" spans="1:19">
      <c r="A285" s="23" t="s">
        <v>281</v>
      </c>
      <c r="B285" s="23">
        <v>92.080600000000004</v>
      </c>
      <c r="C285" s="23">
        <v>58.23</v>
      </c>
      <c r="D285" s="23">
        <v>1.7117911999999999E-2</v>
      </c>
      <c r="E285" s="23"/>
      <c r="F285" s="23"/>
      <c r="G285" s="23"/>
      <c r="H285" s="23"/>
      <c r="I285" s="23" t="s">
        <v>281</v>
      </c>
      <c r="J285" s="23">
        <v>10176.560799999999</v>
      </c>
      <c r="K285" s="23">
        <v>7701.7389999999996</v>
      </c>
      <c r="L285" s="23">
        <v>-3.315527E-3</v>
      </c>
      <c r="P285">
        <v>255</v>
      </c>
      <c r="Q285">
        <v>3.6293436865802546E-3</v>
      </c>
      <c r="R285">
        <v>-2.2652347686580254E-2</v>
      </c>
      <c r="S285">
        <v>-0.63050207976744421</v>
      </c>
    </row>
    <row r="286" spans="1:19">
      <c r="A286" s="24">
        <v>45479</v>
      </c>
      <c r="B286" s="23">
        <v>94.674000000000007</v>
      </c>
      <c r="C286" s="23">
        <v>59.87</v>
      </c>
      <c r="D286" s="23">
        <v>2.8164456000000001E-2</v>
      </c>
      <c r="E286" s="23"/>
      <c r="F286" s="23"/>
      <c r="G286" s="23"/>
      <c r="H286" s="23"/>
      <c r="I286" s="24">
        <v>45479</v>
      </c>
      <c r="J286" s="23">
        <v>10386</v>
      </c>
      <c r="K286" s="23">
        <v>7860.0240000000003</v>
      </c>
      <c r="L286" s="23">
        <v>2.0580548000000001E-2</v>
      </c>
      <c r="P286">
        <v>256</v>
      </c>
      <c r="Q286">
        <v>1.0009584180900973E-2</v>
      </c>
      <c r="R286">
        <v>1.9078259819099028E-2</v>
      </c>
      <c r="S286">
        <v>0.53102144911062688</v>
      </c>
    </row>
    <row r="287" spans="1:19">
      <c r="A287" s="23" t="s">
        <v>282</v>
      </c>
      <c r="B287" s="23">
        <v>100.0663</v>
      </c>
      <c r="C287" s="23">
        <v>63.28</v>
      </c>
      <c r="D287" s="23">
        <v>5.6956502999999999E-2</v>
      </c>
      <c r="E287" s="23"/>
      <c r="F287" s="23"/>
      <c r="G287" s="23"/>
      <c r="H287" s="23"/>
      <c r="I287" s="23" t="s">
        <v>282</v>
      </c>
      <c r="J287" s="23">
        <v>10207.6176</v>
      </c>
      <c r="K287" s="23">
        <v>7724.2579999999998</v>
      </c>
      <c r="L287" s="23">
        <v>-1.7175274000000001E-2</v>
      </c>
      <c r="P287">
        <v>257</v>
      </c>
      <c r="Q287">
        <v>2.3190121110743644E-2</v>
      </c>
      <c r="R287">
        <v>4.0300318892563559E-3</v>
      </c>
      <c r="S287">
        <v>0.11217130881363636</v>
      </c>
    </row>
    <row r="288" spans="1:19">
      <c r="A288" s="23" t="s">
        <v>283</v>
      </c>
      <c r="B288" s="23">
        <v>101.50530000000001</v>
      </c>
      <c r="C288" s="23">
        <v>64.19</v>
      </c>
      <c r="D288" s="23">
        <v>1.4380466E-2</v>
      </c>
      <c r="E288" s="23"/>
      <c r="F288" s="23"/>
      <c r="G288" s="23"/>
      <c r="H288" s="23"/>
      <c r="I288" s="23" t="s">
        <v>283</v>
      </c>
      <c r="J288" s="23">
        <v>10302.792100000001</v>
      </c>
      <c r="K288" s="23">
        <v>7795.9740000000002</v>
      </c>
      <c r="L288" s="23">
        <v>9.3238699999999997E-3</v>
      </c>
      <c r="P288">
        <v>258</v>
      </c>
      <c r="Q288">
        <v>4.1522037199073644E-2</v>
      </c>
      <c r="R288">
        <v>-4.0170621990736413E-3</v>
      </c>
      <c r="S288">
        <v>-0.11181031238415876</v>
      </c>
    </row>
    <row r="289" spans="1:19">
      <c r="A289" s="23" t="s">
        <v>284</v>
      </c>
      <c r="B289" s="23">
        <v>96.793000000000006</v>
      </c>
      <c r="C289" s="23">
        <v>61.21</v>
      </c>
      <c r="D289" s="23">
        <v>-4.6424176999999997E-2</v>
      </c>
      <c r="E289" s="23"/>
      <c r="F289" s="23"/>
      <c r="G289" s="23"/>
      <c r="H289" s="23"/>
      <c r="I289" s="23" t="s">
        <v>284</v>
      </c>
      <c r="J289" s="23">
        <v>10280.404699999999</v>
      </c>
      <c r="K289" s="23">
        <v>7767.47</v>
      </c>
      <c r="L289" s="23">
        <v>-2.1729449999999999E-3</v>
      </c>
      <c r="P289">
        <v>259</v>
      </c>
      <c r="Q289">
        <v>1.3209123622414963E-2</v>
      </c>
      <c r="R289">
        <v>3.0972183775850384E-3</v>
      </c>
      <c r="S289">
        <v>8.6207516129473818E-2</v>
      </c>
    </row>
    <row r="290" spans="1:19">
      <c r="A290" s="24">
        <v>45419</v>
      </c>
      <c r="B290" s="23">
        <v>98.563999999999993</v>
      </c>
      <c r="C290" s="23">
        <v>62.33</v>
      </c>
      <c r="D290" s="23">
        <v>1.8296778E-2</v>
      </c>
      <c r="E290" s="23"/>
      <c r="F290" s="23"/>
      <c r="G290" s="23"/>
      <c r="H290" s="23"/>
      <c r="I290" s="24">
        <v>45419</v>
      </c>
      <c r="J290" s="23">
        <v>10353.410099999999</v>
      </c>
      <c r="K290" s="23">
        <v>7822.26</v>
      </c>
      <c r="L290" s="23">
        <v>7.101413E-3</v>
      </c>
      <c r="P290">
        <v>260</v>
      </c>
      <c r="Q290">
        <v>1.8889594451667935E-2</v>
      </c>
      <c r="R290">
        <v>6.2415465483320644E-3</v>
      </c>
      <c r="S290">
        <v>0.17372627924213094</v>
      </c>
    </row>
    <row r="291" spans="1:19">
      <c r="A291" s="24">
        <v>45633</v>
      </c>
      <c r="B291" s="23">
        <v>104.5415</v>
      </c>
      <c r="C291" s="23">
        <v>66.11</v>
      </c>
      <c r="D291" s="23">
        <v>6.0645875000000002E-2</v>
      </c>
      <c r="E291" s="23"/>
      <c r="F291" s="23"/>
      <c r="G291" s="23"/>
      <c r="H291" s="23"/>
      <c r="I291" s="24">
        <v>45633</v>
      </c>
      <c r="J291" s="23">
        <v>10534.8791</v>
      </c>
      <c r="K291" s="23">
        <v>7959.28</v>
      </c>
      <c r="L291" s="23">
        <v>1.7527462000000001E-2</v>
      </c>
      <c r="P291">
        <v>261</v>
      </c>
      <c r="Q291">
        <v>-9.4752627967061923E-3</v>
      </c>
      <c r="R291">
        <v>3.0632157967061925E-3</v>
      </c>
      <c r="S291">
        <v>8.5261093345478059E-2</v>
      </c>
    </row>
    <row r="292" spans="1:19">
      <c r="A292" s="23" t="s">
        <v>285</v>
      </c>
      <c r="B292" s="23">
        <v>102.9443</v>
      </c>
      <c r="C292" s="23">
        <v>65.099999999999994</v>
      </c>
      <c r="D292" s="23">
        <v>-1.5278142999999999E-2</v>
      </c>
      <c r="E292" s="23"/>
      <c r="F292" s="23"/>
      <c r="G292" s="23"/>
      <c r="H292" s="23"/>
      <c r="I292" s="23" t="s">
        <v>285</v>
      </c>
      <c r="J292" s="23">
        <v>10551.761500000001</v>
      </c>
      <c r="K292" s="23">
        <v>7971.5910000000003</v>
      </c>
      <c r="L292" s="23">
        <v>1.6025239999999999E-3</v>
      </c>
      <c r="P292">
        <v>262</v>
      </c>
      <c r="Q292">
        <v>6.141660325904694E-3</v>
      </c>
      <c r="R292">
        <v>9.1979271674095295E-2</v>
      </c>
      <c r="S292">
        <v>2.5601373812732113</v>
      </c>
    </row>
    <row r="293" spans="1:19">
      <c r="A293" s="23" t="s">
        <v>286</v>
      </c>
      <c r="B293" s="23">
        <v>106.42319999999999</v>
      </c>
      <c r="C293" s="23">
        <v>67.3</v>
      </c>
      <c r="D293" s="23">
        <v>3.3794003000000003E-2</v>
      </c>
      <c r="E293" s="23"/>
      <c r="F293" s="23"/>
      <c r="G293" s="23"/>
      <c r="H293" s="23"/>
      <c r="I293" s="23" t="s">
        <v>286</v>
      </c>
      <c r="J293" s="23">
        <v>10485.149100000001</v>
      </c>
      <c r="K293" s="23">
        <v>7921.2669999999998</v>
      </c>
      <c r="L293" s="23">
        <v>-6.3129179999999998E-3</v>
      </c>
      <c r="P293">
        <v>263</v>
      </c>
      <c r="Q293">
        <v>-6.1453181510769291E-3</v>
      </c>
      <c r="R293">
        <v>-4.7429958489230706E-3</v>
      </c>
      <c r="S293">
        <v>-0.13201584173308314</v>
      </c>
    </row>
    <row r="294" spans="1:19">
      <c r="A294" s="24">
        <v>45330</v>
      </c>
      <c r="B294" s="23">
        <v>107.78319999999999</v>
      </c>
      <c r="C294" s="23">
        <v>68.16</v>
      </c>
      <c r="D294" s="23">
        <v>1.2779168E-2</v>
      </c>
      <c r="E294" s="23"/>
      <c r="F294" s="23"/>
      <c r="G294" s="23"/>
      <c r="H294" s="23"/>
      <c r="I294" s="24">
        <v>45330</v>
      </c>
      <c r="J294" s="23">
        <v>10514.227500000001</v>
      </c>
      <c r="K294" s="23">
        <v>7943.2349999999997</v>
      </c>
      <c r="L294" s="23">
        <v>2.7732939999999999E-3</v>
      </c>
      <c r="P294">
        <v>264</v>
      </c>
      <c r="Q294">
        <v>2.402819045583162E-2</v>
      </c>
      <c r="R294">
        <v>-2.0358417455831619E-2</v>
      </c>
      <c r="S294">
        <v>-0.5666531665625113</v>
      </c>
    </row>
    <row r="295" spans="1:19">
      <c r="A295" s="24">
        <v>45543</v>
      </c>
      <c r="B295" s="23">
        <v>106.5339</v>
      </c>
      <c r="C295" s="23">
        <v>67.37</v>
      </c>
      <c r="D295" s="23">
        <v>-1.159086E-2</v>
      </c>
      <c r="E295" s="23"/>
      <c r="F295" s="23"/>
      <c r="G295" s="23"/>
      <c r="H295" s="23"/>
      <c r="I295" s="24">
        <v>45543</v>
      </c>
      <c r="J295" s="23">
        <v>10295.1618</v>
      </c>
      <c r="K295" s="23">
        <v>7777.7020000000002</v>
      </c>
      <c r="L295" s="23">
        <v>-2.0835168000000001E-2</v>
      </c>
      <c r="P295">
        <v>265</v>
      </c>
      <c r="Q295">
        <v>2.5107768816934897E-2</v>
      </c>
      <c r="R295">
        <v>-4.1472952816934902E-2</v>
      </c>
      <c r="S295">
        <v>-1.1543520065545194</v>
      </c>
    </row>
    <row r="296" spans="1:19">
      <c r="A296" s="23" t="s">
        <v>287</v>
      </c>
      <c r="B296" s="23">
        <v>122.3788</v>
      </c>
      <c r="C296" s="23">
        <v>77.39</v>
      </c>
      <c r="D296" s="23">
        <v>0.148731061</v>
      </c>
      <c r="E296" s="23"/>
      <c r="F296" s="23"/>
      <c r="G296" s="23"/>
      <c r="H296" s="23"/>
      <c r="I296" s="23" t="s">
        <v>287</v>
      </c>
      <c r="J296" s="23">
        <v>10561.483200000001</v>
      </c>
      <c r="K296" s="23">
        <v>7971.0510000000004</v>
      </c>
      <c r="L296" s="23">
        <v>2.5868598E-2</v>
      </c>
      <c r="P296">
        <v>266</v>
      </c>
      <c r="Q296">
        <v>-2.7334793608335415E-3</v>
      </c>
      <c r="R296">
        <v>3.6184133608335414E-3</v>
      </c>
      <c r="S296">
        <v>0.10071437985279631</v>
      </c>
    </row>
    <row r="297" spans="1:19">
      <c r="A297" s="23" t="s">
        <v>288</v>
      </c>
      <c r="B297" s="23">
        <v>126.6771</v>
      </c>
      <c r="C297" s="23">
        <v>77.47</v>
      </c>
      <c r="D297" s="23">
        <v>3.5122912999999999E-2</v>
      </c>
      <c r="E297" s="23"/>
      <c r="F297" s="23"/>
      <c r="G297" s="23"/>
      <c r="H297" s="23"/>
      <c r="I297" s="23" t="s">
        <v>288</v>
      </c>
      <c r="J297" s="23">
        <v>10667.624400000001</v>
      </c>
      <c r="K297" s="23">
        <v>8023.915</v>
      </c>
      <c r="L297" s="23">
        <v>1.0049838E-2</v>
      </c>
      <c r="P297">
        <v>267</v>
      </c>
      <c r="Q297">
        <v>6.8851247496147638E-3</v>
      </c>
      <c r="R297">
        <v>0.13299162725038524</v>
      </c>
      <c r="S297">
        <v>3.7016691926682754</v>
      </c>
    </row>
    <row r="298" spans="1:19">
      <c r="A298" s="23" t="s">
        <v>289</v>
      </c>
      <c r="B298" s="23">
        <v>130.11089999999999</v>
      </c>
      <c r="C298" s="23">
        <v>79.569999999999993</v>
      </c>
      <c r="D298" s="23">
        <v>2.7106715E-2</v>
      </c>
      <c r="E298" s="23"/>
      <c r="F298" s="23"/>
      <c r="G298" s="23"/>
      <c r="H298" s="23"/>
      <c r="I298" s="23" t="s">
        <v>289</v>
      </c>
      <c r="J298" s="23">
        <v>10778.162</v>
      </c>
      <c r="K298" s="23">
        <v>8091.8540000000003</v>
      </c>
      <c r="L298" s="23">
        <v>1.036197E-2</v>
      </c>
      <c r="P298">
        <v>268</v>
      </c>
      <c r="Q298">
        <v>6.8011955183173087E-3</v>
      </c>
      <c r="R298">
        <v>1.1352964816826912E-3</v>
      </c>
      <c r="S298">
        <v>3.1599673586047712E-2</v>
      </c>
    </row>
    <row r="299" spans="1:19">
      <c r="A299" s="24">
        <v>45452</v>
      </c>
      <c r="B299" s="23">
        <v>134.08439999999999</v>
      </c>
      <c r="C299" s="23">
        <v>82</v>
      </c>
      <c r="D299" s="23">
        <v>3.0539331999999999E-2</v>
      </c>
      <c r="E299" s="23"/>
      <c r="F299" s="23"/>
      <c r="G299" s="23"/>
      <c r="H299" s="23"/>
      <c r="I299" s="24">
        <v>45452</v>
      </c>
      <c r="J299" s="23">
        <v>10726.5123</v>
      </c>
      <c r="K299" s="23">
        <v>8013.3829999999998</v>
      </c>
      <c r="L299" s="23">
        <v>-4.7920690000000004E-3</v>
      </c>
      <c r="P299">
        <v>269</v>
      </c>
      <c r="Q299">
        <v>2.3174425824011212E-2</v>
      </c>
      <c r="R299">
        <v>-6.3843478824011202E-2</v>
      </c>
      <c r="S299">
        <v>-1.7770099035684002</v>
      </c>
    </row>
    <row r="300" spans="1:19">
      <c r="A300" s="23" t="s">
        <v>290</v>
      </c>
      <c r="B300" s="23">
        <v>133.39760000000001</v>
      </c>
      <c r="C300" s="23">
        <v>81.58</v>
      </c>
      <c r="D300" s="23">
        <v>-5.1221469999999996E-3</v>
      </c>
      <c r="E300" s="23"/>
      <c r="F300" s="23"/>
      <c r="G300" s="23"/>
      <c r="H300" s="23"/>
      <c r="I300" s="23" t="s">
        <v>290</v>
      </c>
      <c r="J300" s="23">
        <v>10892.8915</v>
      </c>
      <c r="K300" s="23">
        <v>8099.9459999999999</v>
      </c>
      <c r="L300" s="23">
        <v>1.5511024999999999E-2</v>
      </c>
      <c r="P300">
        <v>270</v>
      </c>
      <c r="Q300">
        <v>2.6521464346279756E-2</v>
      </c>
      <c r="R300">
        <v>-3.7162066346279755E-2</v>
      </c>
      <c r="S300">
        <v>-1.0343634330522848</v>
      </c>
    </row>
    <row r="301" spans="1:19">
      <c r="A301" s="23" t="s">
        <v>291</v>
      </c>
      <c r="B301" s="23">
        <v>130.61779999999999</v>
      </c>
      <c r="C301" s="23">
        <v>79.88</v>
      </c>
      <c r="D301" s="23">
        <v>-2.0838456000000002E-2</v>
      </c>
      <c r="E301" s="23"/>
      <c r="F301" s="23"/>
      <c r="G301" s="23"/>
      <c r="H301" s="23"/>
      <c r="I301" s="23" t="s">
        <v>291</v>
      </c>
      <c r="J301" s="23">
        <v>11044.4771</v>
      </c>
      <c r="K301" s="23">
        <v>8209.4670000000006</v>
      </c>
      <c r="L301" s="23">
        <v>1.3916011000000001E-2</v>
      </c>
      <c r="P301">
        <v>271</v>
      </c>
      <c r="Q301">
        <v>-1.822869216589617E-2</v>
      </c>
      <c r="R301">
        <v>3.8729262165896172E-2</v>
      </c>
      <c r="S301">
        <v>1.0779845286377274</v>
      </c>
    </row>
    <row r="302" spans="1:19">
      <c r="A302" s="23" t="s">
        <v>292</v>
      </c>
      <c r="B302" s="23">
        <v>130.55240000000001</v>
      </c>
      <c r="C302" s="23">
        <v>79.84</v>
      </c>
      <c r="D302" s="23">
        <v>-5.0069700000000003E-4</v>
      </c>
      <c r="E302" s="23"/>
      <c r="F302" s="23"/>
      <c r="G302" s="23"/>
      <c r="H302" s="23"/>
      <c r="I302" s="23" t="s">
        <v>292</v>
      </c>
      <c r="J302" s="23">
        <v>11049.8997</v>
      </c>
      <c r="K302" s="23">
        <v>8212.2420000000002</v>
      </c>
      <c r="L302" s="23">
        <v>4.9097799999999999E-4</v>
      </c>
      <c r="P302">
        <v>272</v>
      </c>
      <c r="Q302">
        <v>1.8924700761331282E-2</v>
      </c>
      <c r="R302">
        <v>-5.9157527613312826E-3</v>
      </c>
      <c r="S302">
        <v>-0.16465818338198324</v>
      </c>
    </row>
    <row r="303" spans="1:19">
      <c r="A303" s="24">
        <v>45392</v>
      </c>
      <c r="B303" s="23">
        <v>129.5386</v>
      </c>
      <c r="C303" s="23">
        <v>79.22</v>
      </c>
      <c r="D303" s="23">
        <v>-7.7654639999999997E-3</v>
      </c>
      <c r="E303" s="23"/>
      <c r="F303" s="23"/>
      <c r="G303" s="23"/>
      <c r="H303" s="23"/>
      <c r="I303" s="24">
        <v>45392</v>
      </c>
      <c r="J303" s="23">
        <v>10967.1919</v>
      </c>
      <c r="K303" s="23">
        <v>8150.0020000000004</v>
      </c>
      <c r="L303" s="23">
        <v>-7.4849369999999997E-3</v>
      </c>
      <c r="P303">
        <v>273</v>
      </c>
      <c r="Q303">
        <v>2.2314812446727998E-2</v>
      </c>
      <c r="R303">
        <v>2.2060783553272005E-2</v>
      </c>
      <c r="S303">
        <v>0.614036571576978</v>
      </c>
    </row>
    <row r="304" spans="1:19">
      <c r="A304" s="24">
        <v>45606</v>
      </c>
      <c r="B304" s="23">
        <v>131.321</v>
      </c>
      <c r="C304" s="23">
        <v>80.31</v>
      </c>
      <c r="D304" s="23">
        <v>1.3759604999999999E-2</v>
      </c>
      <c r="E304" s="23"/>
      <c r="F304" s="23"/>
      <c r="G304" s="23"/>
      <c r="H304" s="23"/>
      <c r="I304" s="24">
        <v>45606</v>
      </c>
      <c r="J304" s="23">
        <v>11054.2727</v>
      </c>
      <c r="K304" s="23">
        <v>8214.509</v>
      </c>
      <c r="L304" s="23">
        <v>7.9401179999999995E-3</v>
      </c>
      <c r="P304">
        <v>274</v>
      </c>
      <c r="Q304">
        <v>-1.1808833472555074E-2</v>
      </c>
      <c r="R304">
        <v>-6.5572725274449257E-3</v>
      </c>
      <c r="S304">
        <v>-0.1825141492334256</v>
      </c>
    </row>
    <row r="305" spans="1:19">
      <c r="A305" s="23" t="s">
        <v>293</v>
      </c>
      <c r="B305" s="23">
        <v>132.28569999999999</v>
      </c>
      <c r="C305" s="23">
        <v>80.900000000000006</v>
      </c>
      <c r="D305" s="23">
        <v>7.3461209999999997E-3</v>
      </c>
      <c r="E305" s="23"/>
      <c r="F305" s="23"/>
      <c r="G305" s="23"/>
      <c r="H305" s="23"/>
      <c r="I305" s="23" t="s">
        <v>293</v>
      </c>
      <c r="J305" s="23">
        <v>11148.1078</v>
      </c>
      <c r="K305" s="23">
        <v>8283.2340000000004</v>
      </c>
      <c r="L305" s="23">
        <v>8.4885819999999997E-3</v>
      </c>
      <c r="P305">
        <v>275</v>
      </c>
      <c r="Q305">
        <v>6.8332374898209744E-3</v>
      </c>
      <c r="R305">
        <v>-8.1016084898209752E-3</v>
      </c>
      <c r="S305">
        <v>-0.22549896694901284</v>
      </c>
    </row>
    <row r="306" spans="1:19">
      <c r="A306" s="23" t="s">
        <v>294</v>
      </c>
      <c r="B306" s="23">
        <v>130.74860000000001</v>
      </c>
      <c r="C306" s="23">
        <v>79.959999999999994</v>
      </c>
      <c r="D306" s="23">
        <v>-1.1619548E-2</v>
      </c>
      <c r="E306" s="23"/>
      <c r="F306" s="23"/>
      <c r="G306" s="23"/>
      <c r="H306" s="23"/>
      <c r="I306" s="23" t="s">
        <v>294</v>
      </c>
      <c r="J306" s="23">
        <v>11052.004800000001</v>
      </c>
      <c r="K306" s="23">
        <v>8211.2870000000003</v>
      </c>
      <c r="L306" s="23">
        <v>-8.6205659999999996E-3</v>
      </c>
      <c r="P306">
        <v>276</v>
      </c>
      <c r="Q306">
        <v>-2.5264276340412471E-2</v>
      </c>
      <c r="R306">
        <v>-4.7404316595875302E-3</v>
      </c>
      <c r="S306">
        <v>-0.1319444704681112</v>
      </c>
    </row>
    <row r="307" spans="1:19">
      <c r="A307" s="24">
        <v>45302</v>
      </c>
      <c r="B307" s="23">
        <v>133.8064</v>
      </c>
      <c r="C307" s="23">
        <v>81.83</v>
      </c>
      <c r="D307" s="23">
        <v>2.3386865999999999E-2</v>
      </c>
      <c r="E307" s="23"/>
      <c r="F307" s="23"/>
      <c r="G307" s="23"/>
      <c r="H307" s="23"/>
      <c r="I307" s="24">
        <v>45302</v>
      </c>
      <c r="J307" s="23">
        <v>10927.6103</v>
      </c>
      <c r="K307" s="23">
        <v>8118.8320000000003</v>
      </c>
      <c r="L307" s="23">
        <v>-1.1255378999999999E-2</v>
      </c>
      <c r="P307">
        <v>277</v>
      </c>
      <c r="Q307">
        <v>6.0050178791302561E-3</v>
      </c>
      <c r="R307">
        <v>-1.5497974879130256E-2</v>
      </c>
      <c r="S307">
        <v>-0.43136833005896713</v>
      </c>
    </row>
    <row r="308" spans="1:19">
      <c r="A308" s="24">
        <v>45515</v>
      </c>
      <c r="B308" s="23">
        <v>138.98990000000001</v>
      </c>
      <c r="C308" s="23">
        <v>85</v>
      </c>
      <c r="D308" s="23">
        <v>3.8738805000000001E-2</v>
      </c>
      <c r="E308" s="23"/>
      <c r="F308" s="23"/>
      <c r="G308" s="23"/>
      <c r="H308" s="23"/>
      <c r="I308" s="24">
        <v>45515</v>
      </c>
      <c r="J308" s="23">
        <v>11182.527400000001</v>
      </c>
      <c r="K308" s="23">
        <v>8295.134</v>
      </c>
      <c r="L308" s="23">
        <v>2.3327799E-2</v>
      </c>
      <c r="P308">
        <v>278</v>
      </c>
      <c r="Q308">
        <v>1.2321108439139057E-2</v>
      </c>
      <c r="R308">
        <v>-1.5294929439139057E-2</v>
      </c>
      <c r="S308">
        <v>-0.4257167934512367</v>
      </c>
    </row>
    <row r="309" spans="1:19">
      <c r="A309" s="23" t="s">
        <v>295</v>
      </c>
      <c r="B309" s="23">
        <v>146.29920000000001</v>
      </c>
      <c r="C309" s="23">
        <v>89.47</v>
      </c>
      <c r="D309" s="23">
        <v>5.2588713000000002E-2</v>
      </c>
      <c r="E309" s="23"/>
      <c r="F309" s="23"/>
      <c r="G309" s="23"/>
      <c r="H309" s="23"/>
      <c r="I309" s="23" t="s">
        <v>295</v>
      </c>
      <c r="J309" s="23">
        <v>11206.033799999999</v>
      </c>
      <c r="K309" s="23">
        <v>8285.15</v>
      </c>
      <c r="L309" s="23">
        <v>2.1020650000000002E-3</v>
      </c>
      <c r="P309">
        <v>279</v>
      </c>
      <c r="Q309">
        <v>2.5059748434714618E-2</v>
      </c>
      <c r="R309">
        <v>-9.2179722434714617E-2</v>
      </c>
      <c r="S309">
        <v>-2.5657166979608288</v>
      </c>
    </row>
    <row r="310" spans="1:19">
      <c r="A310" s="23" t="s">
        <v>296</v>
      </c>
      <c r="B310" s="23">
        <v>147.26390000000001</v>
      </c>
      <c r="C310" s="23">
        <v>90.06</v>
      </c>
      <c r="D310" s="23">
        <v>6.5940210000000003E-3</v>
      </c>
      <c r="E310" s="23"/>
      <c r="F310" s="23"/>
      <c r="G310" s="23"/>
      <c r="H310" s="23"/>
      <c r="I310" s="23" t="s">
        <v>296</v>
      </c>
      <c r="J310" s="23">
        <v>11354.1756</v>
      </c>
      <c r="K310" s="23">
        <v>8393.8490000000002</v>
      </c>
      <c r="L310" s="23">
        <v>1.3219824E-2</v>
      </c>
      <c r="P310">
        <v>280</v>
      </c>
      <c r="Q310">
        <v>1.6008601423641099E-2</v>
      </c>
      <c r="R310">
        <v>-7.2990042364109824E-4</v>
      </c>
      <c r="S310">
        <v>-2.031593994124882E-2</v>
      </c>
    </row>
    <row r="311" spans="1:19">
      <c r="A311" s="23" t="s">
        <v>297</v>
      </c>
      <c r="B311" s="23">
        <v>148.57210000000001</v>
      </c>
      <c r="C311" s="23">
        <v>90.86</v>
      </c>
      <c r="D311" s="23">
        <v>8.8833720000000005E-3</v>
      </c>
      <c r="E311" s="23"/>
      <c r="F311" s="23"/>
      <c r="G311" s="23"/>
      <c r="H311" s="23"/>
      <c r="I311" s="23" t="s">
        <v>297</v>
      </c>
      <c r="J311" s="23">
        <v>11413.9352</v>
      </c>
      <c r="K311" s="23">
        <v>8436.232</v>
      </c>
      <c r="L311" s="23">
        <v>5.2632269999999997E-3</v>
      </c>
      <c r="P311">
        <v>281</v>
      </c>
      <c r="Q311">
        <v>-6.7873709696539171E-3</v>
      </c>
      <c r="R311">
        <v>8.5367909696539169E-3</v>
      </c>
      <c r="S311">
        <v>0.23761177143221324</v>
      </c>
    </row>
    <row r="312" spans="1:19">
      <c r="A312" s="24">
        <v>45455</v>
      </c>
      <c r="B312" s="23">
        <v>155.0146</v>
      </c>
      <c r="C312" s="23">
        <v>94.8</v>
      </c>
      <c r="D312" s="23">
        <v>4.3362785000000001E-2</v>
      </c>
      <c r="E312" s="23"/>
      <c r="F312" s="23"/>
      <c r="G312" s="23"/>
      <c r="H312" s="23"/>
      <c r="I312" s="24">
        <v>45455</v>
      </c>
      <c r="J312" s="23">
        <v>11393.8879</v>
      </c>
      <c r="K312" s="23">
        <v>8420.8510000000006</v>
      </c>
      <c r="L312" s="23">
        <v>-1.756388E-3</v>
      </c>
      <c r="P312">
        <v>282</v>
      </c>
      <c r="Q312">
        <v>1.2624761400647109E-3</v>
      </c>
      <c r="R312">
        <v>1.5855435859935287E-2</v>
      </c>
      <c r="S312">
        <v>0.44131784588627376</v>
      </c>
    </row>
    <row r="313" spans="1:19">
      <c r="A313" s="23" t="s">
        <v>298</v>
      </c>
      <c r="B313" s="23">
        <v>155.3417</v>
      </c>
      <c r="C313" s="23">
        <v>95</v>
      </c>
      <c r="D313" s="23">
        <v>2.1101240000000001E-3</v>
      </c>
      <c r="E313" s="23"/>
      <c r="F313" s="23"/>
      <c r="G313" s="23"/>
      <c r="H313" s="23"/>
      <c r="I313" s="23" t="s">
        <v>298</v>
      </c>
      <c r="J313" s="23">
        <v>11225.9527</v>
      </c>
      <c r="K313" s="23">
        <v>8295.9560000000001</v>
      </c>
      <c r="L313" s="23">
        <v>-1.473906E-2</v>
      </c>
      <c r="P313">
        <v>283</v>
      </c>
      <c r="Q313">
        <v>2.6696882006377293E-2</v>
      </c>
      <c r="R313">
        <v>1.4675739936227082E-3</v>
      </c>
      <c r="S313">
        <v>4.0848236482786481E-2</v>
      </c>
    </row>
    <row r="314" spans="1:19">
      <c r="A314" s="23" t="s">
        <v>299</v>
      </c>
      <c r="B314" s="23">
        <v>150.27260000000001</v>
      </c>
      <c r="C314" s="23">
        <v>91.9</v>
      </c>
      <c r="D314" s="23">
        <v>-3.2631933000000002E-2</v>
      </c>
      <c r="E314" s="23"/>
      <c r="F314" s="23"/>
      <c r="G314" s="23"/>
      <c r="H314" s="23"/>
      <c r="I314" s="23" t="s">
        <v>299</v>
      </c>
      <c r="J314" s="23">
        <v>10916.277</v>
      </c>
      <c r="K314" s="23">
        <v>8066.9620000000004</v>
      </c>
      <c r="L314" s="23">
        <v>-2.7585694000000001E-2</v>
      </c>
      <c r="P314">
        <v>284</v>
      </c>
      <c r="Q314">
        <v>-1.3489504275229778E-2</v>
      </c>
      <c r="R314">
        <v>7.0446007275229774E-2</v>
      </c>
      <c r="S314">
        <v>1.9607836994599064</v>
      </c>
    </row>
    <row r="315" spans="1:19">
      <c r="A315" s="23" t="s">
        <v>300</v>
      </c>
      <c r="B315" s="23">
        <v>157.9907</v>
      </c>
      <c r="C315" s="23">
        <v>96.62</v>
      </c>
      <c r="D315" s="23">
        <v>5.1360661000000002E-2</v>
      </c>
      <c r="E315" s="23"/>
      <c r="F315" s="23"/>
      <c r="G315" s="23"/>
      <c r="H315" s="23"/>
      <c r="I315" s="23" t="s">
        <v>300</v>
      </c>
      <c r="J315" s="23">
        <v>11180.223900000001</v>
      </c>
      <c r="K315" s="23">
        <v>8261.7999999999993</v>
      </c>
      <c r="L315" s="23">
        <v>2.4179204999999999E-2</v>
      </c>
      <c r="P315">
        <v>285</v>
      </c>
      <c r="Q315">
        <v>1.4715545449708812E-2</v>
      </c>
      <c r="R315">
        <v>-3.3507944970881214E-4</v>
      </c>
      <c r="S315">
        <v>-9.3265516162766987E-3</v>
      </c>
    </row>
    <row r="316" spans="1:19">
      <c r="A316" s="24">
        <v>45717</v>
      </c>
      <c r="B316" s="23">
        <v>155.25989999999999</v>
      </c>
      <c r="C316" s="23">
        <v>94.95</v>
      </c>
      <c r="D316" s="23">
        <v>-1.7284562E-2</v>
      </c>
      <c r="E316" s="23"/>
      <c r="F316" s="23"/>
      <c r="G316" s="23"/>
      <c r="H316" s="23"/>
      <c r="I316" s="24">
        <v>45717</v>
      </c>
      <c r="J316" s="23">
        <v>11178.6924</v>
      </c>
      <c r="K316" s="23">
        <v>8250.4940000000006</v>
      </c>
      <c r="L316" s="23">
        <v>-1.36983E-4</v>
      </c>
      <c r="P316">
        <v>286</v>
      </c>
      <c r="Q316">
        <v>2.4786128622478797E-3</v>
      </c>
      <c r="R316">
        <v>-4.8902789862247879E-2</v>
      </c>
      <c r="S316">
        <v>-1.3611529869305292</v>
      </c>
    </row>
    <row r="317" spans="1:19">
      <c r="A317" s="24">
        <v>45931</v>
      </c>
      <c r="B317" s="23">
        <v>158.67740000000001</v>
      </c>
      <c r="C317" s="23">
        <v>97.04</v>
      </c>
      <c r="D317" s="23">
        <v>2.2011479E-2</v>
      </c>
      <c r="E317" s="23"/>
      <c r="F317" s="23"/>
      <c r="G317" s="23"/>
      <c r="H317" s="23"/>
      <c r="I317" s="24">
        <v>45931</v>
      </c>
      <c r="J317" s="23">
        <v>11237.7381</v>
      </c>
      <c r="K317" s="23">
        <v>8294.0730000000003</v>
      </c>
      <c r="L317" s="23">
        <v>5.2819859999999998E-3</v>
      </c>
      <c r="P317">
        <v>287</v>
      </c>
      <c r="Q317">
        <v>1.2350015823674936E-2</v>
      </c>
      <c r="R317">
        <v>5.9467621763250635E-3</v>
      </c>
      <c r="S317">
        <v>0.16552129483146594</v>
      </c>
    </row>
    <row r="318" spans="1:19">
      <c r="A318" s="23" t="s">
        <v>301</v>
      </c>
      <c r="B318" s="23">
        <v>150.58330000000001</v>
      </c>
      <c r="C318" s="23">
        <v>92.09</v>
      </c>
      <c r="D318" s="23">
        <v>-5.1009785000000002E-2</v>
      </c>
      <c r="E318" s="23"/>
      <c r="F318" s="23"/>
      <c r="G318" s="23"/>
      <c r="H318" s="23"/>
      <c r="I318" s="23" t="s">
        <v>301</v>
      </c>
      <c r="J318" s="23">
        <v>11259.8367</v>
      </c>
      <c r="K318" s="23">
        <v>8310.3829999999998</v>
      </c>
      <c r="L318" s="23">
        <v>1.9664629999999999E-3</v>
      </c>
      <c r="P318">
        <v>288</v>
      </c>
      <c r="Q318">
        <v>2.3447250907179758E-2</v>
      </c>
      <c r="R318">
        <v>3.7198624092820244E-2</v>
      </c>
      <c r="S318">
        <v>1.035380975937654</v>
      </c>
    </row>
    <row r="319" spans="1:19">
      <c r="A319" s="23" t="s">
        <v>302</v>
      </c>
      <c r="B319" s="23">
        <v>160.32900000000001</v>
      </c>
      <c r="C319" s="23">
        <v>98.05</v>
      </c>
      <c r="D319" s="23">
        <v>6.4719659999999998E-2</v>
      </c>
      <c r="E319" s="23"/>
      <c r="F319" s="23"/>
      <c r="G319" s="23"/>
      <c r="H319" s="23"/>
      <c r="I319" s="23" t="s">
        <v>302</v>
      </c>
      <c r="J319" s="23">
        <v>11393.2752</v>
      </c>
      <c r="K319" s="23">
        <v>8408.8680000000004</v>
      </c>
      <c r="L319" s="23">
        <v>1.1850838000000001E-2</v>
      </c>
      <c r="P319">
        <v>289</v>
      </c>
      <c r="Q319">
        <v>6.4971310030589252E-3</v>
      </c>
      <c r="R319">
        <v>-2.1775274003058925E-2</v>
      </c>
      <c r="S319">
        <v>-0.60608974117804948</v>
      </c>
    </row>
    <row r="320" spans="1:19">
      <c r="A320" s="23" t="s">
        <v>303</v>
      </c>
      <c r="B320" s="23">
        <v>165.98670000000001</v>
      </c>
      <c r="C320" s="23">
        <v>101.51</v>
      </c>
      <c r="D320" s="23">
        <v>3.5288064000000001E-2</v>
      </c>
      <c r="E320" s="23"/>
      <c r="F320" s="23"/>
      <c r="G320" s="23"/>
      <c r="H320" s="23"/>
      <c r="I320" s="23" t="s">
        <v>303</v>
      </c>
      <c r="J320" s="23">
        <v>11560.5147</v>
      </c>
      <c r="K320" s="23">
        <v>8532.2999999999993</v>
      </c>
      <c r="L320" s="23">
        <v>1.4678791E-2</v>
      </c>
      <c r="P320">
        <v>290</v>
      </c>
      <c r="Q320">
        <v>-1.9278745444737556E-3</v>
      </c>
      <c r="R320">
        <v>3.5721877544473757E-2</v>
      </c>
      <c r="S320">
        <v>0.99427743192956641</v>
      </c>
    </row>
    <row r="321" spans="1:19">
      <c r="A321" s="24">
        <v>45840</v>
      </c>
      <c r="B321" s="23">
        <v>167.52369999999999</v>
      </c>
      <c r="C321" s="23">
        <v>102.45</v>
      </c>
      <c r="D321" s="23">
        <v>9.2597779999999998E-3</v>
      </c>
      <c r="E321" s="23"/>
      <c r="F321" s="23"/>
      <c r="G321" s="23"/>
      <c r="H321" s="23"/>
      <c r="I321" s="24">
        <v>45840</v>
      </c>
      <c r="J321" s="23">
        <v>11532.2363</v>
      </c>
      <c r="K321" s="23">
        <v>8511.4290000000001</v>
      </c>
      <c r="L321" s="23">
        <v>-2.4461190000000001E-3</v>
      </c>
      <c r="P321">
        <v>291</v>
      </c>
      <c r="Q321">
        <v>7.7432703525589074E-3</v>
      </c>
      <c r="R321">
        <v>5.035897647441093E-3</v>
      </c>
      <c r="S321">
        <v>0.14016842687297323</v>
      </c>
    </row>
    <row r="322" spans="1:19">
      <c r="A322" s="23" t="s">
        <v>304</v>
      </c>
      <c r="B322" s="23">
        <v>165.87219999999999</v>
      </c>
      <c r="C322" s="23">
        <v>101.44</v>
      </c>
      <c r="D322" s="23">
        <v>-9.8583070000000002E-3</v>
      </c>
      <c r="E322" s="23"/>
      <c r="F322" s="23"/>
      <c r="G322" s="23"/>
      <c r="H322" s="23"/>
      <c r="I322" s="23" t="s">
        <v>304</v>
      </c>
      <c r="J322" s="23">
        <v>11594.9048</v>
      </c>
      <c r="K322" s="23">
        <v>8555.8060000000005</v>
      </c>
      <c r="L322" s="23">
        <v>5.434202E-3</v>
      </c>
      <c r="P322">
        <v>292</v>
      </c>
      <c r="Q322">
        <v>-1.7385007173663189E-2</v>
      </c>
      <c r="R322">
        <v>5.7941471736631892E-3</v>
      </c>
      <c r="S322">
        <v>0.16127343152328305</v>
      </c>
    </row>
    <row r="323" spans="1:19">
      <c r="A323" s="23" t="s">
        <v>305</v>
      </c>
      <c r="B323" s="23">
        <v>153.87020000000001</v>
      </c>
      <c r="C323" s="23">
        <v>91.68</v>
      </c>
      <c r="D323" s="23">
        <v>-7.2356910999999996E-2</v>
      </c>
      <c r="E323" s="23"/>
      <c r="F323" s="23"/>
      <c r="G323" s="23"/>
      <c r="H323" s="23"/>
      <c r="I323" s="23" t="s">
        <v>305</v>
      </c>
      <c r="J323" s="23">
        <v>11277.102000000001</v>
      </c>
      <c r="K323" s="23">
        <v>8296.2049999999999</v>
      </c>
      <c r="L323" s="23">
        <v>-2.7408832000000001E-2</v>
      </c>
      <c r="P323">
        <v>293</v>
      </c>
      <c r="Q323">
        <v>3.2325354880744915E-2</v>
      </c>
      <c r="R323">
        <v>0.11640570611925508</v>
      </c>
      <c r="S323">
        <v>3.240019128280839</v>
      </c>
    </row>
    <row r="324" spans="1:19">
      <c r="A324" s="23" t="s">
        <v>306</v>
      </c>
      <c r="B324" s="23">
        <v>154.49119999999999</v>
      </c>
      <c r="C324" s="23">
        <v>92.05</v>
      </c>
      <c r="D324" s="23">
        <v>4.0358690000000001E-3</v>
      </c>
      <c r="E324" s="23"/>
      <c r="F324" s="23"/>
      <c r="G324" s="23"/>
      <c r="H324" s="23"/>
      <c r="I324" s="23" t="s">
        <v>306</v>
      </c>
      <c r="J324" s="23">
        <v>11139.9547</v>
      </c>
      <c r="K324" s="23">
        <v>8172.3540000000003</v>
      </c>
      <c r="L324" s="23">
        <v>-1.2161573E-2</v>
      </c>
      <c r="P324">
        <v>294</v>
      </c>
      <c r="Q324">
        <v>1.5488248278853565E-2</v>
      </c>
      <c r="R324">
        <v>1.9634664721146434E-2</v>
      </c>
      <c r="S324">
        <v>0.54650834048222274</v>
      </c>
    </row>
    <row r="325" spans="1:19">
      <c r="A325" s="24">
        <v>45841</v>
      </c>
      <c r="B325" s="23">
        <v>152.14150000000001</v>
      </c>
      <c r="C325" s="23">
        <v>90.65</v>
      </c>
      <c r="D325" s="23">
        <v>-1.5209281E-2</v>
      </c>
      <c r="E325" s="23"/>
      <c r="F325" s="23"/>
      <c r="G325" s="23"/>
      <c r="H325" s="23"/>
      <c r="I325" s="24">
        <v>45841</v>
      </c>
      <c r="J325" s="23">
        <v>10908.213900000001</v>
      </c>
      <c r="K325" s="23">
        <v>7948.1679999999997</v>
      </c>
      <c r="L325" s="23">
        <v>-2.0802669999999999E-2</v>
      </c>
      <c r="P325">
        <v>295</v>
      </c>
      <c r="Q325">
        <v>1.5820474051155664E-2</v>
      </c>
      <c r="R325">
        <v>1.1286240948844336E-2</v>
      </c>
      <c r="S325">
        <v>0.31413955363304441</v>
      </c>
    </row>
    <row r="326" spans="1:19">
      <c r="A326" s="23" t="s">
        <v>307</v>
      </c>
      <c r="B326" s="23">
        <v>147.77789999999999</v>
      </c>
      <c r="C326" s="23">
        <v>88.05</v>
      </c>
      <c r="D326" s="23">
        <v>-2.8681195E-2</v>
      </c>
      <c r="E326" s="23"/>
      <c r="F326" s="23"/>
      <c r="G326" s="23"/>
      <c r="H326" s="23"/>
      <c r="I326" s="23" t="s">
        <v>307</v>
      </c>
      <c r="J326" s="23">
        <v>10703.7521</v>
      </c>
      <c r="K326" s="23">
        <v>7789.6769999999997</v>
      </c>
      <c r="L326" s="23">
        <v>-1.8743839000000002E-2</v>
      </c>
      <c r="P326">
        <v>296</v>
      </c>
      <c r="Q326">
        <v>-3.0911955113800422E-4</v>
      </c>
      <c r="R326">
        <v>3.0848451551138002E-2</v>
      </c>
      <c r="S326">
        <v>0.85863121693652822</v>
      </c>
    </row>
    <row r="327" spans="1:19">
      <c r="A327" s="23" t="s">
        <v>308</v>
      </c>
      <c r="B327" s="23">
        <v>153.73599999999999</v>
      </c>
      <c r="C327" s="23">
        <v>91.6</v>
      </c>
      <c r="D327" s="23">
        <v>4.0317936999999998E-2</v>
      </c>
      <c r="E327" s="23"/>
      <c r="F327" s="23"/>
      <c r="G327" s="23"/>
      <c r="H327" s="23"/>
      <c r="I327" s="23" t="s">
        <v>308</v>
      </c>
      <c r="J327" s="23">
        <v>10901.6291</v>
      </c>
      <c r="K327" s="23">
        <v>7931.2309999999998</v>
      </c>
      <c r="L327" s="23">
        <v>1.8486695000000001E-2</v>
      </c>
      <c r="P327">
        <v>297</v>
      </c>
      <c r="Q327">
        <v>2.1301004000026602E-2</v>
      </c>
      <c r="R327">
        <v>-2.6423151000026603E-2</v>
      </c>
      <c r="S327">
        <v>-0.73545805891879623</v>
      </c>
    </row>
    <row r="328" spans="1:19">
      <c r="A328" s="23" t="s">
        <v>309</v>
      </c>
      <c r="B328" s="23">
        <v>158.88849999999999</v>
      </c>
      <c r="C328" s="23">
        <v>94.67</v>
      </c>
      <c r="D328" s="23">
        <v>3.3515246999999998E-2</v>
      </c>
      <c r="E328" s="23"/>
      <c r="F328" s="23"/>
      <c r="G328" s="23"/>
      <c r="H328" s="23"/>
      <c r="I328" s="23" t="s">
        <v>309</v>
      </c>
      <c r="J328" s="23">
        <v>10974.624100000001</v>
      </c>
      <c r="K328" s="23">
        <v>7982.009</v>
      </c>
      <c r="L328" s="23">
        <v>6.6957880000000003E-3</v>
      </c>
      <c r="P328">
        <v>298</v>
      </c>
      <c r="Q328">
        <v>1.9603309569520729E-2</v>
      </c>
      <c r="R328">
        <v>-4.0441765569520727E-2</v>
      </c>
      <c r="S328">
        <v>-1.1256500939262988</v>
      </c>
    </row>
    <row r="329" spans="1:19">
      <c r="A329" s="24">
        <v>45751</v>
      </c>
      <c r="B329" s="23">
        <v>153.3835</v>
      </c>
      <c r="C329" s="23">
        <v>91.39</v>
      </c>
      <c r="D329" s="23">
        <v>-3.4646938000000002E-2</v>
      </c>
      <c r="E329" s="23"/>
      <c r="F329" s="23"/>
      <c r="G329" s="23"/>
      <c r="H329" s="23"/>
      <c r="I329" s="24">
        <v>45751</v>
      </c>
      <c r="J329" s="23">
        <v>10543.316000000001</v>
      </c>
      <c r="K329" s="23">
        <v>7667.8459999999995</v>
      </c>
      <c r="L329" s="23">
        <v>-3.930049E-2</v>
      </c>
      <c r="P329">
        <v>299</v>
      </c>
      <c r="Q329">
        <v>5.3140282506999583E-3</v>
      </c>
      <c r="R329">
        <v>-5.8147252506999588E-3</v>
      </c>
      <c r="S329">
        <v>-0.16184619866198383</v>
      </c>
    </row>
    <row r="330" spans="1:19">
      <c r="P330">
        <v>300</v>
      </c>
      <c r="Q330">
        <v>-3.1753432994483608E-3</v>
      </c>
      <c r="R330">
        <v>-4.5901207005516389E-3</v>
      </c>
      <c r="S330">
        <v>-0.12776073756787351</v>
      </c>
    </row>
    <row r="331" spans="1:19">
      <c r="P331">
        <v>301</v>
      </c>
      <c r="Q331">
        <v>1.3242713196448735E-2</v>
      </c>
      <c r="R331">
        <v>5.1689180355126395E-4</v>
      </c>
      <c r="S331">
        <v>1.4387089659006437E-2</v>
      </c>
    </row>
    <row r="332" spans="1:19">
      <c r="P332">
        <v>302</v>
      </c>
      <c r="Q332">
        <v>1.3826485049318349E-2</v>
      </c>
      <c r="R332">
        <v>-6.4803640493183495E-3</v>
      </c>
      <c r="S332">
        <v>-0.18037349008049891</v>
      </c>
    </row>
    <row r="333" spans="1:19">
      <c r="P333">
        <v>303</v>
      </c>
      <c r="Q333">
        <v>-4.3840794161350838E-3</v>
      </c>
      <c r="R333">
        <v>-7.2354685838649166E-3</v>
      </c>
      <c r="S333">
        <v>-0.20139095749980254</v>
      </c>
    </row>
    <row r="334" spans="1:19">
      <c r="P334">
        <v>304</v>
      </c>
      <c r="Q334">
        <v>-7.1885108227086169E-3</v>
      </c>
      <c r="R334">
        <v>3.0575376822708618E-2</v>
      </c>
      <c r="S334">
        <v>0.85103049551953103</v>
      </c>
    </row>
    <row r="335" spans="1:19">
      <c r="P335">
        <v>305</v>
      </c>
      <c r="Q335">
        <v>2.9620989708191631E-2</v>
      </c>
      <c r="R335">
        <v>9.1178152918083705E-3</v>
      </c>
      <c r="S335">
        <v>0.25378391608505552</v>
      </c>
    </row>
    <row r="336" spans="1:19">
      <c r="P336">
        <v>306</v>
      </c>
      <c r="Q336">
        <v>7.0288303947315597E-3</v>
      </c>
      <c r="R336">
        <v>4.5559882605268442E-2</v>
      </c>
      <c r="S336">
        <v>1.268107003037042</v>
      </c>
    </row>
    <row r="337" spans="16:19">
      <c r="P337">
        <v>307</v>
      </c>
      <c r="Q337">
        <v>1.8862304918470268E-2</v>
      </c>
      <c r="R337">
        <v>-1.2268283918470268E-2</v>
      </c>
      <c r="S337">
        <v>-0.3414735917352833</v>
      </c>
    </row>
    <row r="338" spans="16:19">
      <c r="P338">
        <v>308</v>
      </c>
      <c r="Q338">
        <v>1.0393494981579585E-2</v>
      </c>
      <c r="R338">
        <v>-1.5101229815795841E-3</v>
      </c>
      <c r="S338">
        <v>-4.2032538691546203E-2</v>
      </c>
    </row>
    <row r="339" spans="16:19">
      <c r="P339">
        <v>309</v>
      </c>
      <c r="Q339">
        <v>2.9219860858611122E-3</v>
      </c>
      <c r="R339">
        <v>4.044079891413889E-2</v>
      </c>
      <c r="S339">
        <v>1.1256231881840286</v>
      </c>
    </row>
    <row r="340" spans="16:19">
      <c r="P340">
        <v>310</v>
      </c>
      <c r="Q340">
        <v>-1.0896456854128494E-2</v>
      </c>
      <c r="R340">
        <v>1.3006580854128494E-2</v>
      </c>
      <c r="S340">
        <v>0.36202323894444272</v>
      </c>
    </row>
    <row r="341" spans="16:19">
      <c r="P341">
        <v>311</v>
      </c>
      <c r="Q341">
        <v>-2.4570104228099771E-2</v>
      </c>
      <c r="R341">
        <v>-8.0618287719002313E-3</v>
      </c>
      <c r="S341">
        <v>-0.22439174419097394</v>
      </c>
    </row>
    <row r="342" spans="16:19">
      <c r="P342">
        <v>312</v>
      </c>
      <c r="Q342">
        <v>3.0527205719022441E-2</v>
      </c>
      <c r="R342">
        <v>2.0833455280977561E-2</v>
      </c>
      <c r="S342">
        <v>0.57987529880534971</v>
      </c>
    </row>
    <row r="343" spans="16:19">
      <c r="P343">
        <v>313</v>
      </c>
      <c r="Q343">
        <v>4.645641708465909E-3</v>
      </c>
      <c r="R343">
        <v>-2.193020370846591E-2</v>
      </c>
      <c r="S343">
        <v>-0.61040203157851558</v>
      </c>
    </row>
    <row r="344" spans="16:19">
      <c r="P344">
        <v>314</v>
      </c>
      <c r="Q344">
        <v>1.0413461608720073E-2</v>
      </c>
      <c r="R344">
        <v>1.1598017391279927E-2</v>
      </c>
      <c r="S344">
        <v>0.32281749280729571</v>
      </c>
    </row>
    <row r="345" spans="16:19">
      <c r="P345">
        <v>315</v>
      </c>
      <c r="Q345">
        <v>6.8844988965970876E-3</v>
      </c>
      <c r="R345">
        <v>-5.7894283896597093E-2</v>
      </c>
      <c r="S345">
        <v>-1.6114208959045857</v>
      </c>
    </row>
    <row r="346" spans="16:19">
      <c r="P346">
        <v>316</v>
      </c>
      <c r="Q346">
        <v>1.7405189239460231E-2</v>
      </c>
      <c r="R346">
        <v>4.7314470760539767E-2</v>
      </c>
      <c r="S346">
        <v>1.3169439490498951</v>
      </c>
    </row>
    <row r="347" spans="16:19">
      <c r="P347">
        <v>317</v>
      </c>
      <c r="Q347">
        <v>2.0415194203574894E-2</v>
      </c>
      <c r="R347">
        <v>1.4872869796425107E-2</v>
      </c>
      <c r="S347">
        <v>0.41396924806658331</v>
      </c>
    </row>
    <row r="348" spans="16:19">
      <c r="P348">
        <v>318</v>
      </c>
      <c r="Q348">
        <v>2.1878530454945396E-3</v>
      </c>
      <c r="R348">
        <v>7.0719249545054602E-3</v>
      </c>
      <c r="S348">
        <v>0.19683890841992105</v>
      </c>
    </row>
    <row r="349" spans="16:19">
      <c r="P349">
        <v>319</v>
      </c>
      <c r="Q349">
        <v>1.057547664773157E-2</v>
      </c>
      <c r="R349">
        <v>-2.043378364773157E-2</v>
      </c>
      <c r="S349">
        <v>-0.56875089794976263</v>
      </c>
    </row>
    <row r="350" spans="16:19">
      <c r="P350">
        <v>320</v>
      </c>
      <c r="Q350">
        <v>-2.4381856581139852E-2</v>
      </c>
      <c r="R350">
        <v>-4.7975054418860144E-2</v>
      </c>
      <c r="S350">
        <v>-1.3353305364444603</v>
      </c>
    </row>
    <row r="351" spans="16:19">
      <c r="P351">
        <v>321</v>
      </c>
      <c r="Q351">
        <v>-8.1530418592749704E-3</v>
      </c>
      <c r="R351">
        <v>1.2188910859274971E-2</v>
      </c>
      <c r="S351">
        <v>0.33926433379908327</v>
      </c>
    </row>
    <row r="352" spans="16:19">
      <c r="P352">
        <v>322</v>
      </c>
      <c r="Q352">
        <v>-1.7350417086301834E-2</v>
      </c>
      <c r="R352">
        <v>2.1411360863018338E-3</v>
      </c>
      <c r="S352">
        <v>5.9596063690925787E-2</v>
      </c>
    </row>
    <row r="353" spans="16:19">
      <c r="P353">
        <v>323</v>
      </c>
      <c r="Q353">
        <v>-1.5159047028074862E-2</v>
      </c>
      <c r="R353">
        <v>-1.3522147971925138E-2</v>
      </c>
      <c r="S353">
        <v>-0.37637345749698004</v>
      </c>
    </row>
    <row r="354" spans="16:19">
      <c r="P354">
        <v>324</v>
      </c>
      <c r="Q354">
        <v>2.4468235376066828E-2</v>
      </c>
      <c r="R354">
        <v>1.584970162393317E-2</v>
      </c>
      <c r="S354">
        <v>0.44115824001339754</v>
      </c>
    </row>
    <row r="355" spans="16:19">
      <c r="P355">
        <v>325</v>
      </c>
      <c r="Q355">
        <v>1.1918278357186275E-2</v>
      </c>
      <c r="R355">
        <v>2.1596968642813723E-2</v>
      </c>
      <c r="S355">
        <v>0.60112681627402798</v>
      </c>
    </row>
    <row r="356" spans="16:19" ht="15.75" thickBot="1">
      <c r="P356" s="27">
        <v>326</v>
      </c>
      <c r="Q356" s="27">
        <v>-3.7039050534346932E-2</v>
      </c>
      <c r="R356" s="27">
        <v>2.3921125343469296E-3</v>
      </c>
      <c r="S356" s="27">
        <v>6.6581704855122839E-2</v>
      </c>
    </row>
    <row r="357" spans="16:19"/>
  </sheetData>
  <phoneticPr fontId="14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431DE-1163-412A-984E-1055DC69A7E9}">
  <dimension ref="A1:M51"/>
  <sheetViews>
    <sheetView topLeftCell="A4" zoomScaleNormal="100" workbookViewId="0">
      <selection activeCell="C35" sqref="C35:H35"/>
    </sheetView>
  </sheetViews>
  <sheetFormatPr defaultColWidth="0" defaultRowHeight="15" zeroHeight="1"/>
  <cols>
    <col min="1" max="1" width="60.85546875" bestFit="1" customWidth="1"/>
    <col min="2" max="2" width="43.7109375" bestFit="1" customWidth="1"/>
    <col min="3" max="3" width="11" bestFit="1" customWidth="1"/>
    <col min="4" max="4" width="12" bestFit="1" customWidth="1"/>
    <col min="5" max="8" width="9.140625" customWidth="1"/>
    <col min="9" max="9" width="11" bestFit="1" customWidth="1"/>
    <col min="10" max="10" width="11.85546875" bestFit="1" customWidth="1"/>
    <col min="11" max="11" width="12" bestFit="1" customWidth="1"/>
    <col min="12" max="12" width="9.140625" customWidth="1"/>
    <col min="13" max="13" width="37" hidden="1" customWidth="1"/>
    <col min="14" max="16384" width="9.140625" hidden="1"/>
  </cols>
  <sheetData>
    <row r="1" spans="1:1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20.25">
      <c r="A2" s="2" t="s">
        <v>310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>
      <c r="A4" s="4" t="s">
        <v>1</v>
      </c>
      <c r="B4" s="4"/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</row>
    <row r="5" spans="1:11">
      <c r="A5" s="6" t="s">
        <v>11</v>
      </c>
      <c r="B5" s="6"/>
      <c r="C5" s="7" t="s">
        <v>12</v>
      </c>
      <c r="D5" s="7" t="s">
        <v>13</v>
      </c>
      <c r="E5" s="7" t="s">
        <v>14</v>
      </c>
      <c r="F5" s="7" t="s">
        <v>15</v>
      </c>
      <c r="G5" s="7" t="s">
        <v>16</v>
      </c>
      <c r="H5" s="7" t="s">
        <v>17</v>
      </c>
      <c r="I5" s="7" t="s">
        <v>18</v>
      </c>
      <c r="J5" s="7" t="s">
        <v>19</v>
      </c>
      <c r="K5" s="7" t="s">
        <v>20</v>
      </c>
    </row>
    <row r="6" spans="1:11">
      <c r="A6" s="11" t="s">
        <v>32</v>
      </c>
      <c r="B6" s="11" t="s">
        <v>33</v>
      </c>
      <c r="C6" s="14">
        <v>7095.3</v>
      </c>
      <c r="D6" s="14">
        <v>7918.9</v>
      </c>
      <c r="E6" s="14">
        <v>8916.1</v>
      </c>
      <c r="F6" s="14">
        <v>9232</v>
      </c>
      <c r="G6" s="14">
        <v>9626.4</v>
      </c>
      <c r="H6" s="14">
        <v>9592.4</v>
      </c>
      <c r="I6" s="17">
        <v>10100.700000000001</v>
      </c>
      <c r="J6" s="14">
        <v>10471.532999999999</v>
      </c>
      <c r="K6" s="14">
        <v>11091.938</v>
      </c>
    </row>
    <row r="7" spans="1:11">
      <c r="A7" s="8" t="s">
        <v>311</v>
      </c>
      <c r="B7" s="8" t="s">
        <v>312</v>
      </c>
      <c r="C7" s="9">
        <v>7095.3</v>
      </c>
      <c r="D7" s="9">
        <v>7918.9</v>
      </c>
      <c r="E7" s="9">
        <v>8916.1</v>
      </c>
      <c r="F7" s="9">
        <v>9232</v>
      </c>
      <c r="G7" s="9">
        <v>9626.4</v>
      </c>
      <c r="H7" s="9">
        <v>9592.4</v>
      </c>
      <c r="I7" s="18">
        <v>10100.700000000001</v>
      </c>
      <c r="J7" s="9"/>
      <c r="K7" s="9"/>
    </row>
    <row r="8" spans="1:11">
      <c r="A8" s="8" t="s">
        <v>313</v>
      </c>
      <c r="B8" s="8" t="s">
        <v>314</v>
      </c>
      <c r="C8" s="9">
        <v>5568.2</v>
      </c>
      <c r="D8" s="9">
        <v>6224.8</v>
      </c>
      <c r="E8" s="9">
        <v>6938.9</v>
      </c>
      <c r="F8" s="9">
        <v>7151.6</v>
      </c>
      <c r="G8" s="9">
        <v>7443.9</v>
      </c>
      <c r="H8" s="9">
        <v>7452</v>
      </c>
      <c r="I8" s="18">
        <v>7852.9</v>
      </c>
      <c r="J8" s="9"/>
      <c r="K8" s="9"/>
    </row>
    <row r="9" spans="1:11">
      <c r="A9" s="8" t="s">
        <v>315</v>
      </c>
      <c r="B9" s="8" t="s">
        <v>316</v>
      </c>
      <c r="C9" s="9">
        <v>5568.2</v>
      </c>
      <c r="D9" s="9">
        <v>6224.8</v>
      </c>
      <c r="E9" s="9">
        <v>6938.9</v>
      </c>
      <c r="F9" s="9">
        <v>7151.6</v>
      </c>
      <c r="G9" s="9">
        <v>7443.9</v>
      </c>
      <c r="H9" s="9">
        <v>7452</v>
      </c>
      <c r="I9" s="18">
        <v>7852.9</v>
      </c>
      <c r="J9" s="9"/>
      <c r="K9" s="9"/>
    </row>
    <row r="10" spans="1:11">
      <c r="A10" s="11" t="s">
        <v>317</v>
      </c>
      <c r="B10" s="11" t="s">
        <v>318</v>
      </c>
      <c r="C10" s="14">
        <v>1527.1</v>
      </c>
      <c r="D10" s="14">
        <v>1694.1</v>
      </c>
      <c r="E10" s="14">
        <v>1977.2</v>
      </c>
      <c r="F10" s="14">
        <v>2080.4</v>
      </c>
      <c r="G10" s="14">
        <v>2182.5</v>
      </c>
      <c r="H10" s="14">
        <v>2140.4</v>
      </c>
      <c r="I10" s="17">
        <v>2247.79997558594</v>
      </c>
      <c r="J10" s="14">
        <v>2311.27676376</v>
      </c>
      <c r="K10" s="14">
        <v>2443.4430220200002</v>
      </c>
    </row>
    <row r="11" spans="1:11">
      <c r="A11" s="8" t="s">
        <v>319</v>
      </c>
      <c r="B11" s="8" t="s">
        <v>320</v>
      </c>
      <c r="C11" s="9">
        <v>2.4</v>
      </c>
      <c r="D11" s="9">
        <v>3.6</v>
      </c>
      <c r="E11" s="9">
        <v>2.9</v>
      </c>
      <c r="F11" s="9">
        <v>3</v>
      </c>
      <c r="G11" s="9">
        <v>7.6</v>
      </c>
      <c r="H11" s="9">
        <v>13</v>
      </c>
      <c r="I11" s="18">
        <v>13.4</v>
      </c>
      <c r="J11" s="9"/>
      <c r="K11" s="9"/>
    </row>
    <row r="12" spans="1:11">
      <c r="A12" s="8" t="s">
        <v>321</v>
      </c>
      <c r="B12" s="8" t="s">
        <v>322</v>
      </c>
      <c r="C12" s="9">
        <v>1145.2</v>
      </c>
      <c r="D12" s="9">
        <v>1194.8</v>
      </c>
      <c r="E12" s="9">
        <v>1223.2</v>
      </c>
      <c r="F12" s="9">
        <v>1280.7</v>
      </c>
      <c r="G12" s="9">
        <v>1416.5</v>
      </c>
      <c r="H12" s="9">
        <v>1498.9</v>
      </c>
      <c r="I12" s="18">
        <v>1573.4</v>
      </c>
      <c r="J12" s="9"/>
      <c r="K12" s="9"/>
    </row>
    <row r="13" spans="1:11">
      <c r="A13" s="8" t="s">
        <v>323</v>
      </c>
      <c r="B13" s="8" t="s">
        <v>324</v>
      </c>
      <c r="C13" s="9">
        <v>775.5</v>
      </c>
      <c r="D13" s="9">
        <v>828.1</v>
      </c>
      <c r="E13" s="9">
        <v>887.1</v>
      </c>
      <c r="F13" s="9">
        <v>922.9</v>
      </c>
      <c r="G13" s="9">
        <v>1024.3</v>
      </c>
      <c r="H13" s="9">
        <v>1087.2</v>
      </c>
      <c r="I13" s="18">
        <v>1153.0999999999999</v>
      </c>
      <c r="J13" s="9"/>
      <c r="K13" s="9"/>
    </row>
    <row r="14" spans="1:11">
      <c r="A14" s="15" t="s">
        <v>325</v>
      </c>
      <c r="B14" s="15" t="s">
        <v>326</v>
      </c>
      <c r="C14" s="16">
        <v>731</v>
      </c>
      <c r="D14" s="16">
        <v>786.4</v>
      </c>
      <c r="E14" s="16">
        <v>845.8</v>
      </c>
      <c r="F14" s="16">
        <v>881.1</v>
      </c>
      <c r="G14" s="16">
        <v>978.3</v>
      </c>
      <c r="H14" s="16">
        <v>1039.0999999999999</v>
      </c>
      <c r="I14" s="19">
        <v>1101.5999999999999</v>
      </c>
      <c r="J14" s="16"/>
      <c r="K14" s="16"/>
    </row>
    <row r="15" spans="1:11">
      <c r="A15" s="15" t="s">
        <v>327</v>
      </c>
      <c r="B15" s="15" t="s">
        <v>328</v>
      </c>
      <c r="C15" s="16">
        <v>44.5</v>
      </c>
      <c r="D15" s="16">
        <v>41.7</v>
      </c>
      <c r="E15" s="16">
        <v>41.3</v>
      </c>
      <c r="F15" s="16">
        <v>41.8</v>
      </c>
      <c r="G15" s="16">
        <v>46</v>
      </c>
      <c r="H15" s="16">
        <v>48.1</v>
      </c>
      <c r="I15" s="19">
        <v>51.5</v>
      </c>
      <c r="J15" s="16"/>
      <c r="K15" s="16"/>
    </row>
    <row r="16" spans="1:11">
      <c r="A16" s="8" t="s">
        <v>329</v>
      </c>
      <c r="B16" s="8" t="s">
        <v>330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18"/>
      <c r="J16" s="9"/>
      <c r="K16" s="9"/>
    </row>
    <row r="17" spans="1:11">
      <c r="A17" s="8" t="s">
        <v>331</v>
      </c>
      <c r="B17" s="8" t="s">
        <v>332</v>
      </c>
      <c r="C17" s="9">
        <v>0.4</v>
      </c>
      <c r="D17" s="9" t="s">
        <v>333</v>
      </c>
      <c r="E17" s="9" t="s">
        <v>333</v>
      </c>
      <c r="F17" s="9" t="s">
        <v>333</v>
      </c>
      <c r="G17" s="9" t="s">
        <v>333</v>
      </c>
      <c r="H17" s="9" t="s">
        <v>333</v>
      </c>
      <c r="I17" s="18"/>
      <c r="J17" s="9"/>
      <c r="K17" s="9"/>
    </row>
    <row r="18" spans="1:11">
      <c r="A18" s="8" t="s">
        <v>334</v>
      </c>
      <c r="B18" s="8" t="s">
        <v>335</v>
      </c>
      <c r="C18" s="9">
        <v>369.3</v>
      </c>
      <c r="D18" s="9">
        <v>366.7</v>
      </c>
      <c r="E18" s="9">
        <v>336.1</v>
      </c>
      <c r="F18" s="9">
        <v>357.8</v>
      </c>
      <c r="G18" s="9">
        <v>392.2</v>
      </c>
      <c r="H18" s="9">
        <v>411.7</v>
      </c>
      <c r="I18" s="18">
        <v>420.3</v>
      </c>
      <c r="J18" s="9"/>
      <c r="K18" s="9"/>
    </row>
    <row r="19" spans="1:11">
      <c r="A19" s="11" t="s">
        <v>336</v>
      </c>
      <c r="B19" s="11" t="s">
        <v>337</v>
      </c>
      <c r="C19" s="14">
        <v>384.3</v>
      </c>
      <c r="D19" s="14">
        <v>502.9</v>
      </c>
      <c r="E19" s="14">
        <v>756.9</v>
      </c>
      <c r="F19" s="14">
        <v>802.7</v>
      </c>
      <c r="G19" s="14">
        <v>773.6</v>
      </c>
      <c r="H19" s="14">
        <v>654.5</v>
      </c>
      <c r="I19" s="17">
        <v>687.8</v>
      </c>
      <c r="J19" s="14">
        <v>701.43799999999999</v>
      </c>
      <c r="K19" s="14">
        <v>749</v>
      </c>
    </row>
    <row r="20" spans="1:11">
      <c r="A20" s="8" t="s">
        <v>338</v>
      </c>
      <c r="B20" s="8" t="s">
        <v>339</v>
      </c>
      <c r="C20" s="9">
        <v>13.6</v>
      </c>
      <c r="D20" s="9">
        <v>35.299999999999997</v>
      </c>
      <c r="E20" s="9">
        <v>23.1</v>
      </c>
      <c r="F20" s="9">
        <v>19.3</v>
      </c>
      <c r="G20" s="9">
        <v>21.9</v>
      </c>
      <c r="H20" s="9">
        <v>19.8</v>
      </c>
      <c r="I20" s="18">
        <v>21.4</v>
      </c>
      <c r="J20" s="9"/>
      <c r="K20" s="9"/>
    </row>
    <row r="21" spans="1:11">
      <c r="A21" s="8" t="s">
        <v>340</v>
      </c>
      <c r="B21" s="8" t="s">
        <v>341</v>
      </c>
      <c r="C21" s="9">
        <v>13.3</v>
      </c>
      <c r="D21" s="9">
        <v>33.299999999999997</v>
      </c>
      <c r="E21" s="9">
        <v>23.1</v>
      </c>
      <c r="F21" s="9">
        <v>19.3</v>
      </c>
      <c r="G21" s="9">
        <v>21.9</v>
      </c>
      <c r="H21" s="9">
        <v>19.8</v>
      </c>
      <c r="I21" s="18"/>
      <c r="J21" s="9"/>
      <c r="K21" s="9"/>
    </row>
    <row r="22" spans="1:11">
      <c r="A22" s="15" t="s">
        <v>342</v>
      </c>
      <c r="B22" s="15" t="s">
        <v>343</v>
      </c>
      <c r="C22" s="16">
        <v>14</v>
      </c>
      <c r="D22" s="16">
        <v>34.4</v>
      </c>
      <c r="E22" s="16">
        <v>24.7</v>
      </c>
      <c r="F22" s="16">
        <v>20.100000000000001</v>
      </c>
      <c r="G22" s="16">
        <v>26.3</v>
      </c>
      <c r="H22" s="16">
        <v>31</v>
      </c>
      <c r="I22" s="19"/>
      <c r="J22" s="16"/>
      <c r="K22" s="16"/>
    </row>
    <row r="23" spans="1:11">
      <c r="A23" s="15" t="s">
        <v>344</v>
      </c>
      <c r="B23" s="15" t="s">
        <v>345</v>
      </c>
      <c r="C23" s="16">
        <v>0.7</v>
      </c>
      <c r="D23" s="16">
        <v>1.1000000000000001</v>
      </c>
      <c r="E23" s="16">
        <v>1.6</v>
      </c>
      <c r="F23" s="16">
        <v>0.8</v>
      </c>
      <c r="G23" s="16">
        <v>4.4000000000000004</v>
      </c>
      <c r="H23" s="16">
        <v>11.2</v>
      </c>
      <c r="I23" s="19">
        <v>12.5</v>
      </c>
      <c r="J23" s="16"/>
      <c r="K23" s="16"/>
    </row>
    <row r="24" spans="1:11">
      <c r="A24" s="8" t="s">
        <v>346</v>
      </c>
      <c r="B24" s="8" t="s">
        <v>347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18"/>
      <c r="J24" s="9"/>
      <c r="K24" s="9"/>
    </row>
    <row r="25" spans="1:11">
      <c r="A25" s="8" t="s">
        <v>348</v>
      </c>
      <c r="B25" s="8" t="s">
        <v>349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18"/>
      <c r="J25" s="9"/>
      <c r="K25" s="9"/>
    </row>
    <row r="26" spans="1:11">
      <c r="A26" s="8" t="s">
        <v>350</v>
      </c>
      <c r="B26" s="8" t="s">
        <v>351</v>
      </c>
      <c r="C26" s="9">
        <v>0.3</v>
      </c>
      <c r="D26" s="9">
        <v>2</v>
      </c>
      <c r="E26" s="9">
        <v>0</v>
      </c>
      <c r="F26" s="9">
        <v>0</v>
      </c>
      <c r="G26" s="9">
        <v>0</v>
      </c>
      <c r="H26" s="9">
        <v>0</v>
      </c>
      <c r="I26" s="18">
        <v>33.9</v>
      </c>
      <c r="J26" s="9"/>
      <c r="K26" s="9"/>
    </row>
    <row r="27" spans="1:11">
      <c r="A27" s="11" t="s">
        <v>352</v>
      </c>
      <c r="B27" s="11" t="s">
        <v>353</v>
      </c>
      <c r="C27" s="14">
        <v>370.7</v>
      </c>
      <c r="D27" s="14">
        <v>467.6</v>
      </c>
      <c r="E27" s="14">
        <v>733.8</v>
      </c>
      <c r="F27" s="14">
        <v>783.4</v>
      </c>
      <c r="G27" s="14">
        <v>751.7</v>
      </c>
      <c r="H27" s="14">
        <v>634.70000000000005</v>
      </c>
      <c r="I27" s="17">
        <v>666.4</v>
      </c>
      <c r="J27" s="14">
        <v>675.66700000000003</v>
      </c>
      <c r="K27" s="14">
        <v>722.13300000000004</v>
      </c>
    </row>
    <row r="28" spans="1:11">
      <c r="A28" s="8" t="s">
        <v>354</v>
      </c>
      <c r="B28" s="8" t="s">
        <v>355</v>
      </c>
      <c r="C28" s="9">
        <v>11.4</v>
      </c>
      <c r="D28" s="9">
        <v>19.600000000000001</v>
      </c>
      <c r="E28" s="9">
        <v>13.8</v>
      </c>
      <c r="F28" s="9">
        <v>8.1</v>
      </c>
      <c r="G28" s="9">
        <v>4.5999999999999996</v>
      </c>
      <c r="H28" s="9">
        <v>7.3</v>
      </c>
      <c r="I28" s="18">
        <v>7.4000000953674299</v>
      </c>
      <c r="J28" s="9"/>
      <c r="K28" s="9"/>
    </row>
    <row r="29" spans="1:11">
      <c r="A29" s="8" t="s">
        <v>356</v>
      </c>
      <c r="B29" s="8" t="s">
        <v>357</v>
      </c>
      <c r="C29" s="9" t="s">
        <v>333</v>
      </c>
      <c r="D29" s="9" t="s">
        <v>333</v>
      </c>
      <c r="E29" s="9" t="s">
        <v>333</v>
      </c>
      <c r="F29" s="9" t="s">
        <v>333</v>
      </c>
      <c r="G29" s="9" t="s">
        <v>333</v>
      </c>
      <c r="H29" s="9" t="s">
        <v>333</v>
      </c>
      <c r="I29" s="18"/>
      <c r="J29" s="9"/>
      <c r="K29" s="9"/>
    </row>
    <row r="30" spans="1:11">
      <c r="A30" s="8" t="s">
        <v>358</v>
      </c>
      <c r="B30" s="8" t="s">
        <v>359</v>
      </c>
      <c r="C30" s="9">
        <v>9.9</v>
      </c>
      <c r="D30" s="9">
        <v>2.2999999999999998</v>
      </c>
      <c r="E30" s="9">
        <v>6.2</v>
      </c>
      <c r="F30" s="9">
        <v>3.6</v>
      </c>
      <c r="G30" s="9">
        <v>2.7</v>
      </c>
      <c r="H30" s="9">
        <v>5.4</v>
      </c>
      <c r="I30" s="18">
        <v>6.6</v>
      </c>
      <c r="J30" s="9"/>
      <c r="K30" s="9"/>
    </row>
    <row r="31" spans="1:11">
      <c r="A31" s="8" t="s">
        <v>360</v>
      </c>
      <c r="B31" s="8" t="s">
        <v>361</v>
      </c>
      <c r="C31" s="9">
        <v>1.5</v>
      </c>
      <c r="D31" s="9">
        <v>20.3</v>
      </c>
      <c r="E31" s="9">
        <v>7.6</v>
      </c>
      <c r="F31" s="9">
        <v>4.5</v>
      </c>
      <c r="G31" s="9">
        <v>1.9</v>
      </c>
      <c r="H31" s="9">
        <v>1.9</v>
      </c>
      <c r="I31" s="18">
        <v>0.8</v>
      </c>
      <c r="J31" s="9"/>
      <c r="K31" s="9"/>
    </row>
    <row r="32" spans="1:11">
      <c r="A32" s="8" t="s">
        <v>362</v>
      </c>
      <c r="B32" s="8" t="s">
        <v>363</v>
      </c>
      <c r="C32" s="9" t="s">
        <v>333</v>
      </c>
      <c r="D32" s="9" t="s">
        <v>333</v>
      </c>
      <c r="E32" s="9" t="s">
        <v>333</v>
      </c>
      <c r="F32" s="9" t="s">
        <v>333</v>
      </c>
      <c r="G32" s="9" t="s">
        <v>333</v>
      </c>
      <c r="H32" s="9" t="s">
        <v>333</v>
      </c>
      <c r="I32" s="18"/>
      <c r="J32" s="9"/>
      <c r="K32" s="9"/>
    </row>
    <row r="33" spans="1:13">
      <c r="A33" s="8" t="s">
        <v>364</v>
      </c>
      <c r="B33" s="8" t="s">
        <v>365</v>
      </c>
      <c r="C33" s="9" t="s">
        <v>333</v>
      </c>
      <c r="D33" s="9">
        <v>-3</v>
      </c>
      <c r="E33" s="9" t="s">
        <v>333</v>
      </c>
      <c r="F33" s="9" t="s">
        <v>333</v>
      </c>
      <c r="G33" s="9" t="s">
        <v>333</v>
      </c>
      <c r="H33" s="9" t="s">
        <v>333</v>
      </c>
      <c r="I33" s="18"/>
      <c r="J33" s="9"/>
      <c r="K33" s="9"/>
      <c r="M33" s="25"/>
    </row>
    <row r="34" spans="1:13">
      <c r="A34" s="11" t="s">
        <v>366</v>
      </c>
      <c r="B34" s="11" t="s">
        <v>353</v>
      </c>
      <c r="C34" s="14">
        <v>359.3</v>
      </c>
      <c r="D34" s="14">
        <v>448</v>
      </c>
      <c r="E34" s="14">
        <v>720</v>
      </c>
      <c r="F34" s="14">
        <v>775.3</v>
      </c>
      <c r="G34" s="14">
        <v>747.1</v>
      </c>
      <c r="H34" s="14">
        <v>627.4</v>
      </c>
      <c r="I34" s="17">
        <v>659.00000610351594</v>
      </c>
      <c r="J34" s="14">
        <v>675.66700000000003</v>
      </c>
      <c r="K34" s="14">
        <v>722.13300000000004</v>
      </c>
    </row>
    <row r="35" spans="1:13">
      <c r="A35" s="8" t="s">
        <v>367</v>
      </c>
      <c r="B35" s="8" t="s">
        <v>368</v>
      </c>
      <c r="C35" s="9">
        <v>109.5</v>
      </c>
      <c r="D35" s="9">
        <v>145.69999999999999</v>
      </c>
      <c r="E35" s="9">
        <v>213.9</v>
      </c>
      <c r="F35" s="9">
        <v>230.4</v>
      </c>
      <c r="G35" s="9">
        <v>222.5</v>
      </c>
      <c r="H35" s="9">
        <v>188.6</v>
      </c>
      <c r="I35" s="18">
        <v>198.8</v>
      </c>
      <c r="J35" s="9"/>
      <c r="K35" s="9"/>
    </row>
    <row r="36" spans="1:13">
      <c r="A36" s="8" t="s">
        <v>369</v>
      </c>
      <c r="B36" s="8" t="s">
        <v>370</v>
      </c>
      <c r="C36" s="9">
        <v>117.9</v>
      </c>
      <c r="D36" s="9">
        <v>146.19999999999999</v>
      </c>
      <c r="E36" s="9">
        <v>222</v>
      </c>
      <c r="F36" s="9">
        <v>230.7</v>
      </c>
      <c r="G36" s="9">
        <v>233</v>
      </c>
      <c r="H36" s="9">
        <v>197.7</v>
      </c>
      <c r="I36" s="18"/>
      <c r="J36" s="9"/>
      <c r="K36" s="9"/>
    </row>
    <row r="37" spans="1:13">
      <c r="A37" s="8" t="s">
        <v>371</v>
      </c>
      <c r="B37" s="8" t="s">
        <v>372</v>
      </c>
      <c r="C37" s="9">
        <v>-8.4</v>
      </c>
      <c r="D37" s="9">
        <v>-0.5</v>
      </c>
      <c r="E37" s="9">
        <v>-8.1</v>
      </c>
      <c r="F37" s="9">
        <v>-0.3</v>
      </c>
      <c r="G37" s="9">
        <v>-10.5</v>
      </c>
      <c r="H37" s="9">
        <v>-9.1</v>
      </c>
      <c r="I37" s="18"/>
      <c r="J37" s="9"/>
      <c r="K37" s="9"/>
    </row>
    <row r="38" spans="1:13">
      <c r="A38" s="11" t="s">
        <v>373</v>
      </c>
      <c r="B38" s="11" t="s">
        <v>374</v>
      </c>
      <c r="C38" s="14">
        <v>249.8</v>
      </c>
      <c r="D38" s="14">
        <v>302.3</v>
      </c>
      <c r="E38" s="14">
        <v>506.1</v>
      </c>
      <c r="F38" s="14">
        <v>544.9</v>
      </c>
      <c r="G38" s="14">
        <v>524.6</v>
      </c>
      <c r="H38" s="14">
        <v>438.8</v>
      </c>
      <c r="I38" s="17">
        <v>460.2</v>
      </c>
      <c r="J38" s="14">
        <v>472.42899999999997</v>
      </c>
      <c r="K38" s="14">
        <v>501.5</v>
      </c>
    </row>
    <row r="39" spans="1:13">
      <c r="A39" s="8" t="s">
        <v>375</v>
      </c>
      <c r="B39" s="8" t="s">
        <v>376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18">
        <v>0</v>
      </c>
      <c r="J39" s="9"/>
      <c r="K39" s="9"/>
    </row>
    <row r="40" spans="1:13">
      <c r="A40" s="8" t="s">
        <v>377</v>
      </c>
      <c r="B40" s="8" t="s">
        <v>378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18">
        <v>0</v>
      </c>
      <c r="J40" s="9"/>
      <c r="K40" s="9"/>
    </row>
    <row r="41" spans="1:13">
      <c r="A41" s="8" t="s">
        <v>379</v>
      </c>
      <c r="B41" s="8" t="s">
        <v>380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18">
        <v>0</v>
      </c>
      <c r="J41" s="9"/>
      <c r="K41" s="9"/>
    </row>
    <row r="42" spans="1:13">
      <c r="A42" s="11" t="s">
        <v>381</v>
      </c>
      <c r="B42" s="11" t="s">
        <v>382</v>
      </c>
      <c r="C42" s="14">
        <v>249.8</v>
      </c>
      <c r="D42" s="14">
        <v>302.3</v>
      </c>
      <c r="E42" s="14">
        <v>506.1</v>
      </c>
      <c r="F42" s="14">
        <v>544.9</v>
      </c>
      <c r="G42" s="14">
        <v>524.6</v>
      </c>
      <c r="H42" s="14">
        <v>438.8</v>
      </c>
      <c r="I42" s="17">
        <v>460.2</v>
      </c>
      <c r="J42" s="14"/>
      <c r="K42" s="14"/>
    </row>
    <row r="43" spans="1:13">
      <c r="A43" s="8" t="s">
        <v>383</v>
      </c>
      <c r="B43" s="8" t="s">
        <v>384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18">
        <v>0.3</v>
      </c>
      <c r="J43" s="9"/>
      <c r="K43" s="9"/>
    </row>
    <row r="44" spans="1:13">
      <c r="A44" s="11" t="s">
        <v>385</v>
      </c>
      <c r="B44" s="11" t="s">
        <v>38</v>
      </c>
      <c r="C44" s="14">
        <v>249.8</v>
      </c>
      <c r="D44" s="14">
        <v>302.3</v>
      </c>
      <c r="E44" s="14">
        <v>506.1</v>
      </c>
      <c r="F44" s="14">
        <v>544.9</v>
      </c>
      <c r="G44" s="14">
        <v>524.6</v>
      </c>
      <c r="H44" s="14">
        <v>438.8</v>
      </c>
      <c r="I44" s="17">
        <v>459.9</v>
      </c>
      <c r="J44" s="14">
        <v>472.42899999999997</v>
      </c>
      <c r="K44" s="14">
        <v>501.5</v>
      </c>
    </row>
    <row r="45" spans="1:13">
      <c r="A45" s="8" t="s">
        <v>386</v>
      </c>
      <c r="B45" s="8" t="s">
        <v>387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18">
        <v>0</v>
      </c>
      <c r="J45" s="9"/>
      <c r="K45" s="9"/>
    </row>
    <row r="46" spans="1:13">
      <c r="A46" s="8" t="s">
        <v>388</v>
      </c>
      <c r="B46" s="8" t="s">
        <v>389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18">
        <v>0</v>
      </c>
      <c r="J46" s="9"/>
      <c r="K46" s="9"/>
    </row>
    <row r="47" spans="1:13">
      <c r="A47" s="11" t="s">
        <v>390</v>
      </c>
      <c r="B47" s="11" t="s">
        <v>391</v>
      </c>
      <c r="C47" s="14">
        <v>249.8</v>
      </c>
      <c r="D47" s="14">
        <v>302.3</v>
      </c>
      <c r="E47" s="14">
        <v>506.1</v>
      </c>
      <c r="F47" s="14">
        <v>544.9</v>
      </c>
      <c r="G47" s="14">
        <v>524.6</v>
      </c>
      <c r="H47" s="14">
        <v>438.8</v>
      </c>
      <c r="I47" s="17">
        <v>459.9</v>
      </c>
      <c r="J47" s="14">
        <v>472.42899999999997</v>
      </c>
      <c r="K47" s="14">
        <v>501.5</v>
      </c>
    </row>
    <row r="48" spans="1:13"/>
    <row r="49"/>
    <row r="50"/>
    <row r="51"/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385C4-1B6A-416C-ADBE-D12C7BF7C259}">
  <dimension ref="A1:I96"/>
  <sheetViews>
    <sheetView topLeftCell="C76" zoomScale="115" zoomScaleNormal="115" workbookViewId="0">
      <selection activeCell="C97" sqref="A97:XFD1048576"/>
    </sheetView>
  </sheetViews>
  <sheetFormatPr defaultColWidth="0" defaultRowHeight="15" zeroHeight="1"/>
  <cols>
    <col min="1" max="1" width="35.140625" customWidth="1"/>
    <col min="2" max="2" width="0" hidden="1" customWidth="1"/>
    <col min="3" max="7" width="11.85546875" customWidth="1"/>
    <col min="8" max="8" width="22.7109375" bestFit="1" customWidth="1"/>
    <col min="9" max="9" width="9.140625" customWidth="1"/>
    <col min="10" max="16384" width="9.140625" hidden="1"/>
  </cols>
  <sheetData>
    <row r="1" spans="1:8">
      <c r="A1" s="1"/>
      <c r="B1" s="1"/>
      <c r="C1" s="1"/>
      <c r="D1" s="1"/>
      <c r="E1" s="1"/>
      <c r="F1" s="1"/>
      <c r="G1" s="1"/>
      <c r="H1" s="1"/>
    </row>
    <row r="2" spans="1:8" ht="20.25">
      <c r="A2" s="2" t="s">
        <v>392</v>
      </c>
      <c r="B2" s="2"/>
      <c r="C2" s="2"/>
      <c r="D2" s="2"/>
      <c r="E2" s="2"/>
      <c r="F2" s="2"/>
      <c r="G2" s="2"/>
      <c r="H2" s="2"/>
    </row>
    <row r="3" spans="1:8">
      <c r="A3" s="3"/>
      <c r="B3" s="3"/>
      <c r="C3" s="3"/>
      <c r="D3" s="3"/>
      <c r="E3" s="3"/>
      <c r="F3" s="3"/>
      <c r="G3" s="3"/>
      <c r="H3" s="3"/>
    </row>
    <row r="4" spans="1:8">
      <c r="A4" s="4" t="s">
        <v>1</v>
      </c>
      <c r="B4" s="4"/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</row>
    <row r="5" spans="1:8">
      <c r="A5" s="6" t="s">
        <v>11</v>
      </c>
      <c r="B5" s="6"/>
      <c r="C5" s="7" t="s">
        <v>12</v>
      </c>
      <c r="D5" s="7" t="s">
        <v>13</v>
      </c>
      <c r="E5" s="7" t="s">
        <v>14</v>
      </c>
      <c r="F5" s="7" t="s">
        <v>15</v>
      </c>
      <c r="G5" s="7" t="s">
        <v>16</v>
      </c>
      <c r="H5" s="7" t="s">
        <v>17</v>
      </c>
    </row>
    <row r="6" spans="1:8">
      <c r="A6" s="11" t="s">
        <v>51</v>
      </c>
      <c r="B6" s="12"/>
      <c r="C6" s="12"/>
      <c r="D6" s="12"/>
      <c r="E6" s="12"/>
      <c r="F6" s="12"/>
      <c r="G6" s="12"/>
      <c r="H6" s="12"/>
    </row>
    <row r="7" spans="1:8">
      <c r="A7" s="8" t="s">
        <v>393</v>
      </c>
      <c r="B7" s="8" t="s">
        <v>394</v>
      </c>
      <c r="C7" s="9" t="e">
        <f ca="1">_xll.BDH("JBH AU Equity","CASH_CASH_EQTY_STI_DETAILED","FY 2019","FY 2019","Currency=AUD","Period=FY","BEST_FPERIOD_OVERRIDE=FY","FILING_STATUS=MR","SCALING_FORMAT=MLN","Sort=A","Dates=H","DateFormat=P","Fill=—","Direction=H","UseDPDF=Y")</f>
        <v>#NAME?</v>
      </c>
      <c r="D7" s="9" t="e">
        <f ca="1">_xll.BDH("JBH AU Equity","CASH_CASH_EQTY_STI_DETAILED","FY 2020","FY 2020","Currency=AUD","Period=FY","BEST_FPERIOD_OVERRIDE=FY","FILING_STATUS=MR","SCALING_FORMAT=MLN","Sort=A","Dates=H","DateFormat=P","Fill=—","Direction=H","UseDPDF=Y")</f>
        <v>#NAME?</v>
      </c>
      <c r="E7" s="9" t="e">
        <f ca="1">_xll.BDH("JBH AU Equity","CASH_CASH_EQTY_STI_DETAILED","FY 2021","FY 2021","Currency=AUD","Period=FY","BEST_FPERIOD_OVERRIDE=FY","FILING_STATUS=MR","SCALING_FORMAT=MLN","Sort=A","Dates=H","DateFormat=P","Fill=—","Direction=H","UseDPDF=Y")</f>
        <v>#NAME?</v>
      </c>
      <c r="F7" s="9" t="e">
        <f ca="1">_xll.BDH("JBH AU Equity","CASH_CASH_EQTY_STI_DETAILED","FY 2022","FY 2022","Currency=AUD","Period=FY","BEST_FPERIOD_OVERRIDE=FY","FILING_STATUS=MR","SCALING_FORMAT=MLN","Sort=A","Dates=H","DateFormat=P","Fill=—","Direction=H","UseDPDF=Y")</f>
        <v>#NAME?</v>
      </c>
      <c r="G7" s="9" t="e">
        <f ca="1">_xll.BDH("JBH AU Equity","CASH_CASH_EQTY_STI_DETAILED","FY 2023","FY 2023","Currency=AUD","Period=FY","BEST_FPERIOD_OVERRIDE=FY","FILING_STATUS=MR","SCALING_FORMAT=MLN","Sort=A","Dates=H","DateFormat=P","Fill=—","Direction=H","UseDPDF=Y")</f>
        <v>#NAME?</v>
      </c>
      <c r="H7" s="9" t="e">
        <f ca="1">_xll.BDH("JBH AU Equity","CASH_CASH_EQTY_STI_DETAILED","FY 2024","FY 2024","Currency=AUD","Period=FY","BEST_FPERIOD_OVERRIDE=FY","FILING_STATUS=MR","SCALING_FORMAT=MLN","Sort=A","Dates=H","DateFormat=P","Fill=—","Direction=H","UseDPDF=Y")</f>
        <v>#NAME?</v>
      </c>
    </row>
    <row r="8" spans="1:8">
      <c r="A8" s="8" t="s">
        <v>395</v>
      </c>
      <c r="B8" s="8" t="s">
        <v>396</v>
      </c>
      <c r="C8" s="9" t="e">
        <f ca="1">_xll.BDH("JBH AU Equity","BS_CASH_NEAR_CASH_ITEM","FY 2019","FY 2019","Currency=AUD","Period=FY","BEST_FPERIOD_OVERRIDE=FY","FILING_STATUS=MR","SCALING_FORMAT=MLN","Sort=A","Dates=H","DateFormat=P","Fill=—","Direction=H","UseDPDF=Y")</f>
        <v>#NAME?</v>
      </c>
      <c r="D8" s="9" t="e">
        <f ca="1">_xll.BDH("JBH AU Equity","BS_CASH_NEAR_CASH_ITEM","FY 2020","FY 2020","Currency=AUD","Period=FY","BEST_FPERIOD_OVERRIDE=FY","FILING_STATUS=MR","SCALING_FORMAT=MLN","Sort=A","Dates=H","DateFormat=P","Fill=—","Direction=H","UseDPDF=Y")</f>
        <v>#NAME?</v>
      </c>
      <c r="E8" s="9" t="e">
        <f ca="1">_xll.BDH("JBH AU Equity","BS_CASH_NEAR_CASH_ITEM","FY 2021","FY 2021","Currency=AUD","Period=FY","BEST_FPERIOD_OVERRIDE=FY","FILING_STATUS=MR","SCALING_FORMAT=MLN","Sort=A","Dates=H","DateFormat=P","Fill=—","Direction=H","UseDPDF=Y")</f>
        <v>#NAME?</v>
      </c>
      <c r="F8" s="9" t="e">
        <f ca="1">_xll.BDH("JBH AU Equity","BS_CASH_NEAR_CASH_ITEM","FY 2022","FY 2022","Currency=AUD","Period=FY","BEST_FPERIOD_OVERRIDE=FY","FILING_STATUS=MR","SCALING_FORMAT=MLN","Sort=A","Dates=H","DateFormat=P","Fill=—","Direction=H","UseDPDF=Y")</f>
        <v>#NAME?</v>
      </c>
      <c r="G8" s="9" t="e">
        <f ca="1">_xll.BDH("JBH AU Equity","BS_CASH_NEAR_CASH_ITEM","FY 2023","FY 2023","Currency=AUD","Period=FY","BEST_FPERIOD_OVERRIDE=FY","FILING_STATUS=MR","SCALING_FORMAT=MLN","Sort=A","Dates=H","DateFormat=P","Fill=—","Direction=H","UseDPDF=Y")</f>
        <v>#NAME?</v>
      </c>
      <c r="H8" s="9" t="e">
        <f ca="1">_xll.BDH("JBH AU Equity","BS_CASH_NEAR_CASH_ITEM","FY 2024","FY 2024","Currency=AUD","Period=FY","BEST_FPERIOD_OVERRIDE=FY","FILING_STATUS=MR","SCALING_FORMAT=MLN","Sort=A","Dates=H","DateFormat=P","Fill=—","Direction=H","UseDPDF=Y")</f>
        <v>#NAME?</v>
      </c>
    </row>
    <row r="9" spans="1:8">
      <c r="A9" s="8" t="s">
        <v>397</v>
      </c>
      <c r="B9" s="8" t="s">
        <v>398</v>
      </c>
      <c r="C9" s="9" t="e">
        <f ca="1">_xll.BDH("JBH AU Equity","BS_MKT_SEC_OTHER_ST_INVEST","FY 2019","FY 2019","Currency=AUD","Period=FY","BEST_FPERIOD_OVERRIDE=FY","FILING_STATUS=MR","SCALING_FORMAT=MLN","Sort=A","Dates=H","DateFormat=P","Fill=—","Direction=H","UseDPDF=Y")</f>
        <v>#NAME?</v>
      </c>
      <c r="D9" s="9" t="e">
        <f ca="1">_xll.BDH("JBH AU Equity","BS_MKT_SEC_OTHER_ST_INVEST","FY 2020","FY 2020","Currency=AUD","Period=FY","BEST_FPERIOD_OVERRIDE=FY","FILING_STATUS=MR","SCALING_FORMAT=MLN","Sort=A","Dates=H","DateFormat=P","Fill=—","Direction=H","UseDPDF=Y")</f>
        <v>#NAME?</v>
      </c>
      <c r="E9" s="9" t="e">
        <f ca="1">_xll.BDH("JBH AU Equity","BS_MKT_SEC_OTHER_ST_INVEST","FY 2021","FY 2021","Currency=AUD","Period=FY","BEST_FPERIOD_OVERRIDE=FY","FILING_STATUS=MR","SCALING_FORMAT=MLN","Sort=A","Dates=H","DateFormat=P","Fill=—","Direction=H","UseDPDF=Y")</f>
        <v>#NAME?</v>
      </c>
      <c r="F9" s="9" t="e">
        <f ca="1">_xll.BDH("JBH AU Equity","BS_MKT_SEC_OTHER_ST_INVEST","FY 2022","FY 2022","Currency=AUD","Period=FY","BEST_FPERIOD_OVERRIDE=FY","FILING_STATUS=MR","SCALING_FORMAT=MLN","Sort=A","Dates=H","DateFormat=P","Fill=—","Direction=H","UseDPDF=Y")</f>
        <v>#NAME?</v>
      </c>
      <c r="G9" s="9" t="e">
        <f ca="1">_xll.BDH("JBH AU Equity","BS_MKT_SEC_OTHER_ST_INVEST","FY 2023","FY 2023","Currency=AUD","Period=FY","BEST_FPERIOD_OVERRIDE=FY","FILING_STATUS=MR","SCALING_FORMAT=MLN","Sort=A","Dates=H","DateFormat=P","Fill=—","Direction=H","UseDPDF=Y")</f>
        <v>#NAME?</v>
      </c>
      <c r="H9" s="9" t="e">
        <f ca="1">_xll.BDH("JBH AU Equity","BS_MKT_SEC_OTHER_ST_INVEST","FY 2024","FY 2024","Currency=AUD","Period=FY","BEST_FPERIOD_OVERRIDE=FY","FILING_STATUS=MR","SCALING_FORMAT=MLN","Sort=A","Dates=H","DateFormat=P","Fill=—","Direction=H","UseDPDF=Y")</f>
        <v>#NAME?</v>
      </c>
    </row>
    <row r="10" spans="1:8">
      <c r="A10" s="8" t="s">
        <v>399</v>
      </c>
      <c r="B10" s="8" t="s">
        <v>400</v>
      </c>
      <c r="C10" s="9" t="e">
        <f ca="1">_xll.BDH("JBH AU Equity","BS_ACCT_NOTE_RCV","FY 2019","FY 2019","Currency=AUD","Period=FY","BEST_FPERIOD_OVERRIDE=FY","FILING_STATUS=MR","SCALING_FORMAT=MLN","Sort=A","Dates=H","DateFormat=P","Fill=—","Direction=H","UseDPDF=Y")</f>
        <v>#NAME?</v>
      </c>
      <c r="D10" s="9" t="e">
        <f ca="1">_xll.BDH("JBH AU Equity","BS_ACCT_NOTE_RCV","FY 2020","FY 2020","Currency=AUD","Period=FY","BEST_FPERIOD_OVERRIDE=FY","FILING_STATUS=MR","SCALING_FORMAT=MLN","Sort=A","Dates=H","DateFormat=P","Fill=—","Direction=H","UseDPDF=Y")</f>
        <v>#NAME?</v>
      </c>
      <c r="E10" s="9" t="e">
        <f ca="1">_xll.BDH("JBH AU Equity","BS_ACCT_NOTE_RCV","FY 2021","FY 2021","Currency=AUD","Period=FY","BEST_FPERIOD_OVERRIDE=FY","FILING_STATUS=MR","SCALING_FORMAT=MLN","Sort=A","Dates=H","DateFormat=P","Fill=—","Direction=H","UseDPDF=Y")</f>
        <v>#NAME?</v>
      </c>
      <c r="F10" s="9" t="e">
        <f ca="1">_xll.BDH("JBH AU Equity","BS_ACCT_NOTE_RCV","FY 2022","FY 2022","Currency=AUD","Period=FY","BEST_FPERIOD_OVERRIDE=FY","FILING_STATUS=MR","SCALING_FORMAT=MLN","Sort=A","Dates=H","DateFormat=P","Fill=—","Direction=H","UseDPDF=Y")</f>
        <v>#NAME?</v>
      </c>
      <c r="G10" s="9" t="e">
        <f ca="1">_xll.BDH("JBH AU Equity","BS_ACCT_NOTE_RCV","FY 2023","FY 2023","Currency=AUD","Period=FY","BEST_FPERIOD_OVERRIDE=FY","FILING_STATUS=MR","SCALING_FORMAT=MLN","Sort=A","Dates=H","DateFormat=P","Fill=—","Direction=H","UseDPDF=Y")</f>
        <v>#NAME?</v>
      </c>
      <c r="H10" s="9" t="e">
        <f ca="1">_xll.BDH("JBH AU Equity","BS_ACCT_NOTE_RCV","FY 2024","FY 2024","Currency=AUD","Period=FY","BEST_FPERIOD_OVERRIDE=FY","FILING_STATUS=MR","SCALING_FORMAT=MLN","Sort=A","Dates=H","DateFormat=P","Fill=—","Direction=H","UseDPDF=Y")</f>
        <v>#NAME?</v>
      </c>
    </row>
    <row r="11" spans="1:8">
      <c r="A11" s="8" t="s">
        <v>401</v>
      </c>
      <c r="B11" s="8" t="s">
        <v>402</v>
      </c>
      <c r="C11" s="9" t="e">
        <f ca="1">_xll.BDH("JBH AU Equity","BS_ACCTS_REC_EXCL_NOTES_REC","FY 2019","FY 2019","Currency=AUD","Period=FY","BEST_FPERIOD_OVERRIDE=FY","FILING_STATUS=MR","SCALING_FORMAT=MLN","Sort=A","Dates=H","DateFormat=P","Fill=—","Direction=H","UseDPDF=Y")</f>
        <v>#NAME?</v>
      </c>
      <c r="D11" s="9" t="e">
        <f ca="1">_xll.BDH("JBH AU Equity","BS_ACCTS_REC_EXCL_NOTES_REC","FY 2020","FY 2020","Currency=AUD","Period=FY","BEST_FPERIOD_OVERRIDE=FY","FILING_STATUS=MR","SCALING_FORMAT=MLN","Sort=A","Dates=H","DateFormat=P","Fill=—","Direction=H","UseDPDF=Y")</f>
        <v>#NAME?</v>
      </c>
      <c r="E11" s="9" t="e">
        <f ca="1">_xll.BDH("JBH AU Equity","BS_ACCTS_REC_EXCL_NOTES_REC","FY 2021","FY 2021","Currency=AUD","Period=FY","BEST_FPERIOD_OVERRIDE=FY","FILING_STATUS=MR","SCALING_FORMAT=MLN","Sort=A","Dates=H","DateFormat=P","Fill=—","Direction=H","UseDPDF=Y")</f>
        <v>#NAME?</v>
      </c>
      <c r="F11" s="9" t="e">
        <f ca="1">_xll.BDH("JBH AU Equity","BS_ACCTS_REC_EXCL_NOTES_REC","FY 2022","FY 2022","Currency=AUD","Period=FY","BEST_FPERIOD_OVERRIDE=FY","FILING_STATUS=MR","SCALING_FORMAT=MLN","Sort=A","Dates=H","DateFormat=P","Fill=—","Direction=H","UseDPDF=Y")</f>
        <v>#NAME?</v>
      </c>
      <c r="G11" s="9" t="e">
        <f ca="1">_xll.BDH("JBH AU Equity","BS_ACCTS_REC_EXCL_NOTES_REC","FY 2023","FY 2023","Currency=AUD","Period=FY","BEST_FPERIOD_OVERRIDE=FY","FILING_STATUS=MR","SCALING_FORMAT=MLN","Sort=A","Dates=H","DateFormat=P","Fill=—","Direction=H","UseDPDF=Y")</f>
        <v>#NAME?</v>
      </c>
      <c r="H11" s="9" t="e">
        <f ca="1">_xll.BDH("JBH AU Equity","BS_ACCTS_REC_EXCL_NOTES_REC","FY 2024","FY 2024","Currency=AUD","Period=FY","BEST_FPERIOD_OVERRIDE=FY","FILING_STATUS=MR","SCALING_FORMAT=MLN","Sort=A","Dates=H","DateFormat=P","Fill=—","Direction=H","UseDPDF=Y")</f>
        <v>#NAME?</v>
      </c>
    </row>
    <row r="12" spans="1:8">
      <c r="A12" s="8" t="s">
        <v>403</v>
      </c>
      <c r="B12" s="8" t="s">
        <v>404</v>
      </c>
      <c r="C12" s="9" t="e">
        <f ca="1">_xll.BDH("JBH AU Equity","NOTES_RECEIVABLE","FY 2019","FY 2019","Currency=AUD","Period=FY","BEST_FPERIOD_OVERRIDE=FY","FILING_STATUS=MR","SCALING_FORMAT=MLN","Sort=A","Dates=H","DateFormat=P","Fill=—","Direction=H","UseDPDF=Y")</f>
        <v>#NAME?</v>
      </c>
      <c r="D12" s="9" t="e">
        <f ca="1">_xll.BDH("JBH AU Equity","NOTES_RECEIVABLE","FY 2020","FY 2020","Currency=AUD","Period=FY","BEST_FPERIOD_OVERRIDE=FY","FILING_STATUS=MR","SCALING_FORMAT=MLN","Sort=A","Dates=H","DateFormat=P","Fill=—","Direction=H","UseDPDF=Y")</f>
        <v>#NAME?</v>
      </c>
      <c r="E12" s="9" t="e">
        <f ca="1">_xll.BDH("JBH AU Equity","NOTES_RECEIVABLE","FY 2021","FY 2021","Currency=AUD","Period=FY","BEST_FPERIOD_OVERRIDE=FY","FILING_STATUS=MR","SCALING_FORMAT=MLN","Sort=A","Dates=H","DateFormat=P","Fill=—","Direction=H","UseDPDF=Y")</f>
        <v>#NAME?</v>
      </c>
      <c r="F12" s="9" t="e">
        <f ca="1">_xll.BDH("JBH AU Equity","NOTES_RECEIVABLE","FY 2022","FY 2022","Currency=AUD","Period=FY","BEST_FPERIOD_OVERRIDE=FY","FILING_STATUS=MR","SCALING_FORMAT=MLN","Sort=A","Dates=H","DateFormat=P","Fill=—","Direction=H","UseDPDF=Y")</f>
        <v>#NAME?</v>
      </c>
      <c r="G12" s="9" t="e">
        <f ca="1">_xll.BDH("JBH AU Equity","NOTES_RECEIVABLE","FY 2023","FY 2023","Currency=AUD","Period=FY","BEST_FPERIOD_OVERRIDE=FY","FILING_STATUS=MR","SCALING_FORMAT=MLN","Sort=A","Dates=H","DateFormat=P","Fill=—","Direction=H","UseDPDF=Y")</f>
        <v>#NAME?</v>
      </c>
      <c r="H12" s="9" t="e">
        <f ca="1">_xll.BDH("JBH AU Equity","NOTES_RECEIVABLE","FY 2024","FY 2024","Currency=AUD","Period=FY","BEST_FPERIOD_OVERRIDE=FY","FILING_STATUS=MR","SCALING_FORMAT=MLN","Sort=A","Dates=H","DateFormat=P","Fill=—","Direction=H","UseDPDF=Y")</f>
        <v>#NAME?</v>
      </c>
    </row>
    <row r="13" spans="1:8">
      <c r="A13" s="8" t="s">
        <v>405</v>
      </c>
      <c r="B13" s="8" t="s">
        <v>406</v>
      </c>
      <c r="C13" s="9" t="e">
        <f ca="1">_xll.BDH("JBH AU Equity","BS_INVENTORIES","FY 2019","FY 2019","Currency=AUD","Period=FY","BEST_FPERIOD_OVERRIDE=FY","FILING_STATUS=MR","SCALING_FORMAT=MLN","Sort=A","Dates=H","DateFormat=P","Fill=—","Direction=H","UseDPDF=Y")</f>
        <v>#NAME?</v>
      </c>
      <c r="D13" s="9" t="e">
        <f ca="1">_xll.BDH("JBH AU Equity","BS_INVENTORIES","FY 2020","FY 2020","Currency=AUD","Period=FY","BEST_FPERIOD_OVERRIDE=FY","FILING_STATUS=MR","SCALING_FORMAT=MLN","Sort=A","Dates=H","DateFormat=P","Fill=—","Direction=H","UseDPDF=Y")</f>
        <v>#NAME?</v>
      </c>
      <c r="E13" s="9" t="e">
        <f ca="1">_xll.BDH("JBH AU Equity","BS_INVENTORIES","FY 2021","FY 2021","Currency=AUD","Period=FY","BEST_FPERIOD_OVERRIDE=FY","FILING_STATUS=MR","SCALING_FORMAT=MLN","Sort=A","Dates=H","DateFormat=P","Fill=—","Direction=H","UseDPDF=Y")</f>
        <v>#NAME?</v>
      </c>
      <c r="F13" s="9" t="e">
        <f ca="1">_xll.BDH("JBH AU Equity","BS_INVENTORIES","FY 2022","FY 2022","Currency=AUD","Period=FY","BEST_FPERIOD_OVERRIDE=FY","FILING_STATUS=MR","SCALING_FORMAT=MLN","Sort=A","Dates=H","DateFormat=P","Fill=—","Direction=H","UseDPDF=Y")</f>
        <v>#NAME?</v>
      </c>
      <c r="G13" s="9" t="e">
        <f ca="1">_xll.BDH("JBH AU Equity","BS_INVENTORIES","FY 2023","FY 2023","Currency=AUD","Period=FY","BEST_FPERIOD_OVERRIDE=FY","FILING_STATUS=MR","SCALING_FORMAT=MLN","Sort=A","Dates=H","DateFormat=P","Fill=—","Direction=H","UseDPDF=Y")</f>
        <v>#NAME?</v>
      </c>
      <c r="H13" s="9" t="e">
        <f ca="1">_xll.BDH("JBH AU Equity","BS_INVENTORIES","FY 2024","FY 2024","Currency=AUD","Period=FY","BEST_FPERIOD_OVERRIDE=FY","FILING_STATUS=MR","SCALING_FORMAT=MLN","Sort=A","Dates=H","DateFormat=P","Fill=—","Direction=H","UseDPDF=Y")</f>
        <v>#NAME?</v>
      </c>
    </row>
    <row r="14" spans="1:8">
      <c r="A14" s="8" t="s">
        <v>407</v>
      </c>
      <c r="B14" s="8" t="s">
        <v>408</v>
      </c>
      <c r="C14" s="9" t="e">
        <f ca="1">_xll.BDH("JBH AU Equity","INVTRY_RAW_MATERIALS","FY 2019","FY 2019","Currency=AUD","Period=FY","BEST_FPERIOD_OVERRIDE=FY","FILING_STATUS=MR","SCALING_FORMAT=MLN","Sort=A","Dates=H","DateFormat=P","Fill=—","Direction=H","UseDPDF=Y")</f>
        <v>#NAME?</v>
      </c>
      <c r="D14" s="9" t="e">
        <f ca="1">_xll.BDH("JBH AU Equity","INVTRY_RAW_MATERIALS","FY 2020","FY 2020","Currency=AUD","Period=FY","BEST_FPERIOD_OVERRIDE=FY","FILING_STATUS=MR","SCALING_FORMAT=MLN","Sort=A","Dates=H","DateFormat=P","Fill=—","Direction=H","UseDPDF=Y")</f>
        <v>#NAME?</v>
      </c>
      <c r="E14" s="9" t="e">
        <f ca="1">_xll.BDH("JBH AU Equity","INVTRY_RAW_MATERIALS","FY 2021","FY 2021","Currency=AUD","Period=FY","BEST_FPERIOD_OVERRIDE=FY","FILING_STATUS=MR","SCALING_FORMAT=MLN","Sort=A","Dates=H","DateFormat=P","Fill=—","Direction=H","UseDPDF=Y")</f>
        <v>#NAME?</v>
      </c>
      <c r="F14" s="9" t="e">
        <f ca="1">_xll.BDH("JBH AU Equity","INVTRY_RAW_MATERIALS","FY 2022","FY 2022","Currency=AUD","Period=FY","BEST_FPERIOD_OVERRIDE=FY","FILING_STATUS=MR","SCALING_FORMAT=MLN","Sort=A","Dates=H","DateFormat=P","Fill=—","Direction=H","UseDPDF=Y")</f>
        <v>#NAME?</v>
      </c>
      <c r="G14" s="9" t="e">
        <f ca="1">_xll.BDH("JBH AU Equity","INVTRY_RAW_MATERIALS","FY 2023","FY 2023","Currency=AUD","Period=FY","BEST_FPERIOD_OVERRIDE=FY","FILING_STATUS=MR","SCALING_FORMAT=MLN","Sort=A","Dates=H","DateFormat=P","Fill=—","Direction=H","UseDPDF=Y")</f>
        <v>#NAME?</v>
      </c>
      <c r="H14" s="9" t="e">
        <f ca="1">_xll.BDH("JBH AU Equity","INVTRY_RAW_MATERIALS","FY 2024","FY 2024","Currency=AUD","Period=FY","BEST_FPERIOD_OVERRIDE=FY","FILING_STATUS=MR","SCALING_FORMAT=MLN","Sort=A","Dates=H","DateFormat=P","Fill=—","Direction=H","UseDPDF=Y")</f>
        <v>#NAME?</v>
      </c>
    </row>
    <row r="15" spans="1:8">
      <c r="A15" s="8" t="s">
        <v>409</v>
      </c>
      <c r="B15" s="8" t="s">
        <v>410</v>
      </c>
      <c r="C15" s="9" t="e">
        <f ca="1">_xll.BDH("JBH AU Equity","INVTRY_IN_PROGRESS","FY 2019","FY 2019","Currency=AUD","Period=FY","BEST_FPERIOD_OVERRIDE=FY","FILING_STATUS=MR","SCALING_FORMAT=MLN","Sort=A","Dates=H","DateFormat=P","Fill=—","Direction=H","UseDPDF=Y")</f>
        <v>#NAME?</v>
      </c>
      <c r="D15" s="9" t="e">
        <f ca="1">_xll.BDH("JBH AU Equity","INVTRY_IN_PROGRESS","FY 2020","FY 2020","Currency=AUD","Period=FY","BEST_FPERIOD_OVERRIDE=FY","FILING_STATUS=MR","SCALING_FORMAT=MLN","Sort=A","Dates=H","DateFormat=P","Fill=—","Direction=H","UseDPDF=Y")</f>
        <v>#NAME?</v>
      </c>
      <c r="E15" s="9" t="e">
        <f ca="1">_xll.BDH("JBH AU Equity","INVTRY_IN_PROGRESS","FY 2021","FY 2021","Currency=AUD","Period=FY","BEST_FPERIOD_OVERRIDE=FY","FILING_STATUS=MR","SCALING_FORMAT=MLN","Sort=A","Dates=H","DateFormat=P","Fill=—","Direction=H","UseDPDF=Y")</f>
        <v>#NAME?</v>
      </c>
      <c r="F15" s="9" t="e">
        <f ca="1">_xll.BDH("JBH AU Equity","INVTRY_IN_PROGRESS","FY 2022","FY 2022","Currency=AUD","Period=FY","BEST_FPERIOD_OVERRIDE=FY","FILING_STATUS=MR","SCALING_FORMAT=MLN","Sort=A","Dates=H","DateFormat=P","Fill=—","Direction=H","UseDPDF=Y")</f>
        <v>#NAME?</v>
      </c>
      <c r="G15" s="9" t="e">
        <f ca="1">_xll.BDH("JBH AU Equity","INVTRY_IN_PROGRESS","FY 2023","FY 2023","Currency=AUD","Period=FY","BEST_FPERIOD_OVERRIDE=FY","FILING_STATUS=MR","SCALING_FORMAT=MLN","Sort=A","Dates=H","DateFormat=P","Fill=—","Direction=H","UseDPDF=Y")</f>
        <v>#NAME?</v>
      </c>
      <c r="H15" s="9" t="e">
        <f ca="1">_xll.BDH("JBH AU Equity","INVTRY_IN_PROGRESS","FY 2024","FY 2024","Currency=AUD","Period=FY","BEST_FPERIOD_OVERRIDE=FY","FILING_STATUS=MR","SCALING_FORMAT=MLN","Sort=A","Dates=H","DateFormat=P","Fill=—","Direction=H","UseDPDF=Y")</f>
        <v>#NAME?</v>
      </c>
    </row>
    <row r="16" spans="1:8">
      <c r="A16" s="8" t="s">
        <v>411</v>
      </c>
      <c r="B16" s="8" t="s">
        <v>412</v>
      </c>
      <c r="C16" s="9" t="e">
        <f ca="1">_xll.BDH("JBH AU Equity","INVTRY_FINISHED_GOODS","FY 2019","FY 2019","Currency=AUD","Period=FY","BEST_FPERIOD_OVERRIDE=FY","FILING_STATUS=MR","SCALING_FORMAT=MLN","Sort=A","Dates=H","DateFormat=P","Fill=—","Direction=H","UseDPDF=Y")</f>
        <v>#NAME?</v>
      </c>
      <c r="D16" s="9" t="e">
        <f ca="1">_xll.BDH("JBH AU Equity","INVTRY_FINISHED_GOODS","FY 2020","FY 2020","Currency=AUD","Period=FY","BEST_FPERIOD_OVERRIDE=FY","FILING_STATUS=MR","SCALING_FORMAT=MLN","Sort=A","Dates=H","DateFormat=P","Fill=—","Direction=H","UseDPDF=Y")</f>
        <v>#NAME?</v>
      </c>
      <c r="E16" s="9" t="e">
        <f ca="1">_xll.BDH("JBH AU Equity","INVTRY_FINISHED_GOODS","FY 2021","FY 2021","Currency=AUD","Period=FY","BEST_FPERIOD_OVERRIDE=FY","FILING_STATUS=MR","SCALING_FORMAT=MLN","Sort=A","Dates=H","DateFormat=P","Fill=—","Direction=H","UseDPDF=Y")</f>
        <v>#NAME?</v>
      </c>
      <c r="F16" s="9" t="e">
        <f ca="1">_xll.BDH("JBH AU Equity","INVTRY_FINISHED_GOODS","FY 2022","FY 2022","Currency=AUD","Period=FY","BEST_FPERIOD_OVERRIDE=FY","FILING_STATUS=MR","SCALING_FORMAT=MLN","Sort=A","Dates=H","DateFormat=P","Fill=—","Direction=H","UseDPDF=Y")</f>
        <v>#NAME?</v>
      </c>
      <c r="G16" s="9" t="e">
        <f ca="1">_xll.BDH("JBH AU Equity","INVTRY_FINISHED_GOODS","FY 2023","FY 2023","Currency=AUD","Period=FY","BEST_FPERIOD_OVERRIDE=FY","FILING_STATUS=MR","SCALING_FORMAT=MLN","Sort=A","Dates=H","DateFormat=P","Fill=—","Direction=H","UseDPDF=Y")</f>
        <v>#NAME?</v>
      </c>
      <c r="H16" s="9" t="e">
        <f ca="1">_xll.BDH("JBH AU Equity","INVTRY_FINISHED_GOODS","FY 2024","FY 2024","Currency=AUD","Period=FY","BEST_FPERIOD_OVERRIDE=FY","FILING_STATUS=MR","SCALING_FORMAT=MLN","Sort=A","Dates=H","DateFormat=P","Fill=—","Direction=H","UseDPDF=Y")</f>
        <v>#NAME?</v>
      </c>
    </row>
    <row r="17" spans="1:8">
      <c r="A17" s="8" t="s">
        <v>413</v>
      </c>
      <c r="B17" s="8" t="s">
        <v>414</v>
      </c>
      <c r="C17" s="9" t="e">
        <f ca="1">_xll.BDH("JBH AU Equity","BS_OTHER_INV","FY 2019","FY 2019","Currency=AUD","Period=FY","BEST_FPERIOD_OVERRIDE=FY","FILING_STATUS=MR","SCALING_FORMAT=MLN","Sort=A","Dates=H","DateFormat=P","Fill=—","Direction=H","UseDPDF=Y")</f>
        <v>#NAME?</v>
      </c>
      <c r="D17" s="9" t="e">
        <f ca="1">_xll.BDH("JBH AU Equity","BS_OTHER_INV","FY 2020","FY 2020","Currency=AUD","Period=FY","BEST_FPERIOD_OVERRIDE=FY","FILING_STATUS=MR","SCALING_FORMAT=MLN","Sort=A","Dates=H","DateFormat=P","Fill=—","Direction=H","UseDPDF=Y")</f>
        <v>#NAME?</v>
      </c>
      <c r="E17" s="9" t="e">
        <f ca="1">_xll.BDH("JBH AU Equity","BS_OTHER_INV","FY 2021","FY 2021","Currency=AUD","Period=FY","BEST_FPERIOD_OVERRIDE=FY","FILING_STATUS=MR","SCALING_FORMAT=MLN","Sort=A","Dates=H","DateFormat=P","Fill=—","Direction=H","UseDPDF=Y")</f>
        <v>#NAME?</v>
      </c>
      <c r="F17" s="9" t="e">
        <f ca="1">_xll.BDH("JBH AU Equity","BS_OTHER_INV","FY 2022","FY 2022","Currency=AUD","Period=FY","BEST_FPERIOD_OVERRIDE=FY","FILING_STATUS=MR","SCALING_FORMAT=MLN","Sort=A","Dates=H","DateFormat=P","Fill=—","Direction=H","UseDPDF=Y")</f>
        <v>#NAME?</v>
      </c>
      <c r="G17" s="9" t="e">
        <f ca="1">_xll.BDH("JBH AU Equity","BS_OTHER_INV","FY 2023","FY 2023","Currency=AUD","Period=FY","BEST_FPERIOD_OVERRIDE=FY","FILING_STATUS=MR","SCALING_FORMAT=MLN","Sort=A","Dates=H","DateFormat=P","Fill=—","Direction=H","UseDPDF=Y")</f>
        <v>#NAME?</v>
      </c>
      <c r="H17" s="9" t="e">
        <f ca="1">_xll.BDH("JBH AU Equity","BS_OTHER_INV","FY 2024","FY 2024","Currency=AUD","Period=FY","BEST_FPERIOD_OVERRIDE=FY","FILING_STATUS=MR","SCALING_FORMAT=MLN","Sort=A","Dates=H","DateFormat=P","Fill=—","Direction=H","UseDPDF=Y")</f>
        <v>#NAME?</v>
      </c>
    </row>
    <row r="18" spans="1:8">
      <c r="A18" s="8" t="s">
        <v>415</v>
      </c>
      <c r="B18" s="8" t="s">
        <v>416</v>
      </c>
      <c r="C18" s="9" t="e">
        <f ca="1">_xll.BDH("JBH AU Equity","OTHER_CURRENT_ASSETS_DETAILED","FY 2019","FY 2019","Currency=AUD","Period=FY","BEST_FPERIOD_OVERRIDE=FY","FILING_STATUS=MR","SCALING_FORMAT=MLN","Sort=A","Dates=H","DateFormat=P","Fill=—","Direction=H","UseDPDF=Y")</f>
        <v>#NAME?</v>
      </c>
      <c r="D18" s="9" t="e">
        <f ca="1">_xll.BDH("JBH AU Equity","OTHER_CURRENT_ASSETS_DETAILED","FY 2020","FY 2020","Currency=AUD","Period=FY","BEST_FPERIOD_OVERRIDE=FY","FILING_STATUS=MR","SCALING_FORMAT=MLN","Sort=A","Dates=H","DateFormat=P","Fill=—","Direction=H","UseDPDF=Y")</f>
        <v>#NAME?</v>
      </c>
      <c r="E18" s="9" t="e">
        <f ca="1">_xll.BDH("JBH AU Equity","OTHER_CURRENT_ASSETS_DETAILED","FY 2021","FY 2021","Currency=AUD","Period=FY","BEST_FPERIOD_OVERRIDE=FY","FILING_STATUS=MR","SCALING_FORMAT=MLN","Sort=A","Dates=H","DateFormat=P","Fill=—","Direction=H","UseDPDF=Y")</f>
        <v>#NAME?</v>
      </c>
      <c r="F18" s="9" t="e">
        <f ca="1">_xll.BDH("JBH AU Equity","OTHER_CURRENT_ASSETS_DETAILED","FY 2022","FY 2022","Currency=AUD","Period=FY","BEST_FPERIOD_OVERRIDE=FY","FILING_STATUS=MR","SCALING_FORMAT=MLN","Sort=A","Dates=H","DateFormat=P","Fill=—","Direction=H","UseDPDF=Y")</f>
        <v>#NAME?</v>
      </c>
      <c r="G18" s="9" t="e">
        <f ca="1">_xll.BDH("JBH AU Equity","OTHER_CURRENT_ASSETS_DETAILED","FY 2023","FY 2023","Currency=AUD","Period=FY","BEST_FPERIOD_OVERRIDE=FY","FILING_STATUS=MR","SCALING_FORMAT=MLN","Sort=A","Dates=H","DateFormat=P","Fill=—","Direction=H","UseDPDF=Y")</f>
        <v>#NAME?</v>
      </c>
      <c r="H18" s="9" t="e">
        <f ca="1">_xll.BDH("JBH AU Equity","OTHER_CURRENT_ASSETS_DETAILED","FY 2024","FY 2024","Currency=AUD","Period=FY","BEST_FPERIOD_OVERRIDE=FY","FILING_STATUS=MR","SCALING_FORMAT=MLN","Sort=A","Dates=H","DateFormat=P","Fill=—","Direction=H","UseDPDF=Y")</f>
        <v>#NAME?</v>
      </c>
    </row>
    <row r="19" spans="1:8">
      <c r="A19" s="8" t="s">
        <v>417</v>
      </c>
      <c r="B19" s="8" t="s">
        <v>418</v>
      </c>
      <c r="C19" s="9" t="e">
        <f ca="1">_xll.BDH("JBH AU Equity","BS_PREPAY","FY 2019","FY 2019","Currency=AUD","Period=FY","BEST_FPERIOD_OVERRIDE=FY","FILING_STATUS=MR","SCALING_FORMAT=MLN","Sort=A","Dates=H","DateFormat=P","Fill=—","Direction=H","UseDPDF=Y")</f>
        <v>#NAME?</v>
      </c>
      <c r="D19" s="9" t="e">
        <f ca="1">_xll.BDH("JBH AU Equity","BS_PREPAY","FY 2020","FY 2020","Currency=AUD","Period=FY","BEST_FPERIOD_OVERRIDE=FY","FILING_STATUS=MR","SCALING_FORMAT=MLN","Sort=A","Dates=H","DateFormat=P","Fill=—","Direction=H","UseDPDF=Y")</f>
        <v>#NAME?</v>
      </c>
      <c r="E19" s="9" t="e">
        <f ca="1">_xll.BDH("JBH AU Equity","BS_PREPAY","FY 2021","FY 2021","Currency=AUD","Period=FY","BEST_FPERIOD_OVERRIDE=FY","FILING_STATUS=MR","SCALING_FORMAT=MLN","Sort=A","Dates=H","DateFormat=P","Fill=—","Direction=H","UseDPDF=Y")</f>
        <v>#NAME?</v>
      </c>
      <c r="F19" s="9" t="e">
        <f ca="1">_xll.BDH("JBH AU Equity","BS_PREPAY","FY 2022","FY 2022","Currency=AUD","Period=FY","BEST_FPERIOD_OVERRIDE=FY","FILING_STATUS=MR","SCALING_FORMAT=MLN","Sort=A","Dates=H","DateFormat=P","Fill=—","Direction=H","UseDPDF=Y")</f>
        <v>#NAME?</v>
      </c>
      <c r="G19" s="9" t="e">
        <f ca="1">_xll.BDH("JBH AU Equity","BS_PREPAY","FY 2023","FY 2023","Currency=AUD","Period=FY","BEST_FPERIOD_OVERRIDE=FY","FILING_STATUS=MR","SCALING_FORMAT=MLN","Sort=A","Dates=H","DateFormat=P","Fill=—","Direction=H","UseDPDF=Y")</f>
        <v>#NAME?</v>
      </c>
      <c r="H19" s="9" t="e">
        <f ca="1">_xll.BDH("JBH AU Equity","BS_PREPAY","FY 2024","FY 2024","Currency=AUD","Period=FY","BEST_FPERIOD_OVERRIDE=FY","FILING_STATUS=MR","SCALING_FORMAT=MLN","Sort=A","Dates=H","DateFormat=P","Fill=—","Direction=H","UseDPDF=Y")</f>
        <v>#NAME?</v>
      </c>
    </row>
    <row r="20" spans="1:8">
      <c r="A20" s="8" t="s">
        <v>419</v>
      </c>
      <c r="B20" s="8" t="s">
        <v>420</v>
      </c>
      <c r="C20" s="9" t="e">
        <f ca="1">_xll.BDH("JBH AU Equity","BS_DERIV_HEDGING_ASST_ST","FY 2019","FY 2019","Currency=AUD","Period=FY","BEST_FPERIOD_OVERRIDE=FY","FILING_STATUS=MR","SCALING_FORMAT=MLN","Sort=A","Dates=H","DateFormat=P","Fill=—","Direction=H","UseDPDF=Y")</f>
        <v>#NAME?</v>
      </c>
      <c r="D20" s="9" t="e">
        <f ca="1">_xll.BDH("JBH AU Equity","BS_DERIV_HEDGING_ASST_ST","FY 2020","FY 2020","Currency=AUD","Period=FY","BEST_FPERIOD_OVERRIDE=FY","FILING_STATUS=MR","SCALING_FORMAT=MLN","Sort=A","Dates=H","DateFormat=P","Fill=—","Direction=H","UseDPDF=Y")</f>
        <v>#NAME?</v>
      </c>
      <c r="E20" s="9" t="e">
        <f ca="1">_xll.BDH("JBH AU Equity","BS_DERIV_HEDGING_ASST_ST","FY 2021","FY 2021","Currency=AUD","Period=FY","BEST_FPERIOD_OVERRIDE=FY","FILING_STATUS=MR","SCALING_FORMAT=MLN","Sort=A","Dates=H","DateFormat=P","Fill=—","Direction=H","UseDPDF=Y")</f>
        <v>#NAME?</v>
      </c>
      <c r="F20" s="9" t="e">
        <f ca="1">_xll.BDH("JBH AU Equity","BS_DERIV_HEDGING_ASST_ST","FY 2022","FY 2022","Currency=AUD","Period=FY","BEST_FPERIOD_OVERRIDE=FY","FILING_STATUS=MR","SCALING_FORMAT=MLN","Sort=A","Dates=H","DateFormat=P","Fill=—","Direction=H","UseDPDF=Y")</f>
        <v>#NAME?</v>
      </c>
      <c r="G20" s="9" t="e">
        <f ca="1">_xll.BDH("JBH AU Equity","BS_DERIV_HEDGING_ASST_ST","FY 2023","FY 2023","Currency=AUD","Period=FY","BEST_FPERIOD_OVERRIDE=FY","FILING_STATUS=MR","SCALING_FORMAT=MLN","Sort=A","Dates=H","DateFormat=P","Fill=—","Direction=H","UseDPDF=Y")</f>
        <v>#NAME?</v>
      </c>
      <c r="H20" s="9" t="e">
        <f ca="1">_xll.BDH("JBH AU Equity","BS_DERIV_HEDGING_ASST_ST","FY 2024","FY 2024","Currency=AUD","Period=FY","BEST_FPERIOD_OVERRIDE=FY","FILING_STATUS=MR","SCALING_FORMAT=MLN","Sort=A","Dates=H","DateFormat=P","Fill=—","Direction=H","UseDPDF=Y")</f>
        <v>#NAME?</v>
      </c>
    </row>
    <row r="21" spans="1:8">
      <c r="A21" s="8" t="s">
        <v>421</v>
      </c>
      <c r="B21" s="8" t="s">
        <v>422</v>
      </c>
      <c r="C21" s="9" t="e">
        <f ca="1">_xll.BDH("JBH AU Equity","BS_OTHER_CUR_ASSET_LESS_PREPAY","FY 2019","FY 2019","Currency=AUD","Period=FY","BEST_FPERIOD_OVERRIDE=FY","FILING_STATUS=MR","SCALING_FORMAT=MLN","Sort=A","Dates=H","DateFormat=P","Fill=—","Direction=H","UseDPDF=Y")</f>
        <v>#NAME?</v>
      </c>
      <c r="D21" s="9" t="e">
        <f ca="1">_xll.BDH("JBH AU Equity","BS_OTHER_CUR_ASSET_LESS_PREPAY","FY 2020","FY 2020","Currency=AUD","Period=FY","BEST_FPERIOD_OVERRIDE=FY","FILING_STATUS=MR","SCALING_FORMAT=MLN","Sort=A","Dates=H","DateFormat=P","Fill=—","Direction=H","UseDPDF=Y")</f>
        <v>#NAME?</v>
      </c>
      <c r="E21" s="9" t="e">
        <f ca="1">_xll.BDH("JBH AU Equity","BS_OTHER_CUR_ASSET_LESS_PREPAY","FY 2021","FY 2021","Currency=AUD","Period=FY","BEST_FPERIOD_OVERRIDE=FY","FILING_STATUS=MR","SCALING_FORMAT=MLN","Sort=A","Dates=H","DateFormat=P","Fill=—","Direction=H","UseDPDF=Y")</f>
        <v>#NAME?</v>
      </c>
      <c r="F21" s="9" t="e">
        <f ca="1">_xll.BDH("JBH AU Equity","BS_OTHER_CUR_ASSET_LESS_PREPAY","FY 2022","FY 2022","Currency=AUD","Period=FY","BEST_FPERIOD_OVERRIDE=FY","FILING_STATUS=MR","SCALING_FORMAT=MLN","Sort=A","Dates=H","DateFormat=P","Fill=—","Direction=H","UseDPDF=Y")</f>
        <v>#NAME?</v>
      </c>
      <c r="G21" s="9" t="e">
        <f ca="1">_xll.BDH("JBH AU Equity","BS_OTHER_CUR_ASSET_LESS_PREPAY","FY 2023","FY 2023","Currency=AUD","Period=FY","BEST_FPERIOD_OVERRIDE=FY","FILING_STATUS=MR","SCALING_FORMAT=MLN","Sort=A","Dates=H","DateFormat=P","Fill=—","Direction=H","UseDPDF=Y")</f>
        <v>#NAME?</v>
      </c>
      <c r="H21" s="9" t="e">
        <f ca="1">_xll.BDH("JBH AU Equity","BS_OTHER_CUR_ASSET_LESS_PREPAY","FY 2024","FY 2024","Currency=AUD","Period=FY","BEST_FPERIOD_OVERRIDE=FY","FILING_STATUS=MR","SCALING_FORMAT=MLN","Sort=A","Dates=H","DateFormat=P","Fill=—","Direction=H","UseDPDF=Y")</f>
        <v>#NAME?</v>
      </c>
    </row>
    <row r="22" spans="1:8">
      <c r="A22" s="11" t="s">
        <v>423</v>
      </c>
      <c r="B22" s="11" t="s">
        <v>424</v>
      </c>
      <c r="C22" s="14" t="e">
        <f ca="1">_xll.BDH("JBH AU Equity","BS_CUR_ASSET_REPORT","FY 2019","FY 2019","Currency=AUD","Period=FY","BEST_FPERIOD_OVERRIDE=FY","FILING_STATUS=MR","SCALING_FORMAT=MLN","Sort=A","Dates=H","DateFormat=P","Fill=—","Direction=H","UseDPDF=Y")</f>
        <v>#NAME?</v>
      </c>
      <c r="D22" s="14" t="e">
        <f ca="1">_xll.BDH("JBH AU Equity","BS_CUR_ASSET_REPORT","FY 2020","FY 2020","Currency=AUD","Period=FY","BEST_FPERIOD_OVERRIDE=FY","FILING_STATUS=MR","SCALING_FORMAT=MLN","Sort=A","Dates=H","DateFormat=P","Fill=—","Direction=H","UseDPDF=Y")</f>
        <v>#NAME?</v>
      </c>
      <c r="E22" s="14" t="e">
        <f ca="1">_xll.BDH("JBH AU Equity","BS_CUR_ASSET_REPORT","FY 2021","FY 2021","Currency=AUD","Period=FY","BEST_FPERIOD_OVERRIDE=FY","FILING_STATUS=MR","SCALING_FORMAT=MLN","Sort=A","Dates=H","DateFormat=P","Fill=—","Direction=H","UseDPDF=Y")</f>
        <v>#NAME?</v>
      </c>
      <c r="F22" s="14" t="e">
        <f ca="1">_xll.BDH("JBH AU Equity","BS_CUR_ASSET_REPORT","FY 2022","FY 2022","Currency=AUD","Period=FY","BEST_FPERIOD_OVERRIDE=FY","FILING_STATUS=MR","SCALING_FORMAT=MLN","Sort=A","Dates=H","DateFormat=P","Fill=—","Direction=H","UseDPDF=Y")</f>
        <v>#NAME?</v>
      </c>
      <c r="G22" s="14" t="e">
        <f ca="1">_xll.BDH("JBH AU Equity","BS_CUR_ASSET_REPORT","FY 2023","FY 2023","Currency=AUD","Period=FY","BEST_FPERIOD_OVERRIDE=FY","FILING_STATUS=MR","SCALING_FORMAT=MLN","Sort=A","Dates=H","DateFormat=P","Fill=—","Direction=H","UseDPDF=Y")</f>
        <v>#NAME?</v>
      </c>
      <c r="H22" s="14" t="e">
        <f ca="1">_xll.BDH("JBH AU Equity","BS_CUR_ASSET_REPORT","FY 2024","FY 2024","Currency=AUD","Period=FY","BEST_FPERIOD_OVERRIDE=FY","FILING_STATUS=MR","SCALING_FORMAT=MLN","Sort=A","Dates=H","DateFormat=P","Fill=—","Direction=H","UseDPDF=Y")</f>
        <v>#NAME?</v>
      </c>
    </row>
    <row r="23" spans="1:8">
      <c r="A23" s="8" t="s">
        <v>425</v>
      </c>
      <c r="B23" s="8" t="s">
        <v>50</v>
      </c>
      <c r="C23" s="9" t="e">
        <f ca="1">_xll.BDH("JBH AU Equity","BS_NET_FIX_ASSET","FY 2019","FY 2019","Currency=AUD","Period=FY","BEST_FPERIOD_OVERRIDE=FY","FILING_STATUS=MR","SCALING_FORMAT=MLN","Sort=A","Dates=H","DateFormat=P","Fill=—","Direction=H","UseDPDF=Y")</f>
        <v>#NAME?</v>
      </c>
      <c r="D23" s="9" t="e">
        <f ca="1">_xll.BDH("JBH AU Equity","BS_NET_FIX_ASSET","FY 2020","FY 2020","Currency=AUD","Period=FY","BEST_FPERIOD_OVERRIDE=FY","FILING_STATUS=MR","SCALING_FORMAT=MLN","Sort=A","Dates=H","DateFormat=P","Fill=—","Direction=H","UseDPDF=Y")</f>
        <v>#NAME?</v>
      </c>
      <c r="E23" s="9" t="e">
        <f ca="1">_xll.BDH("JBH AU Equity","BS_NET_FIX_ASSET","FY 2021","FY 2021","Currency=AUD","Period=FY","BEST_FPERIOD_OVERRIDE=FY","FILING_STATUS=MR","SCALING_FORMAT=MLN","Sort=A","Dates=H","DateFormat=P","Fill=—","Direction=H","UseDPDF=Y")</f>
        <v>#NAME?</v>
      </c>
      <c r="F23" s="9" t="e">
        <f ca="1">_xll.BDH("JBH AU Equity","BS_NET_FIX_ASSET","FY 2022","FY 2022","Currency=AUD","Period=FY","BEST_FPERIOD_OVERRIDE=FY","FILING_STATUS=MR","SCALING_FORMAT=MLN","Sort=A","Dates=H","DateFormat=P","Fill=—","Direction=H","UseDPDF=Y")</f>
        <v>#NAME?</v>
      </c>
      <c r="G23" s="9" t="e">
        <f ca="1">_xll.BDH("JBH AU Equity","BS_NET_FIX_ASSET","FY 2023","FY 2023","Currency=AUD","Period=FY","BEST_FPERIOD_OVERRIDE=FY","FILING_STATUS=MR","SCALING_FORMAT=MLN","Sort=A","Dates=H","DateFormat=P","Fill=—","Direction=H","UseDPDF=Y")</f>
        <v>#NAME?</v>
      </c>
      <c r="H23" s="9" t="e">
        <f ca="1">_xll.BDH("JBH AU Equity","BS_NET_FIX_ASSET","FY 2024","FY 2024","Currency=AUD","Period=FY","BEST_FPERIOD_OVERRIDE=FY","FILING_STATUS=MR","SCALING_FORMAT=MLN","Sort=A","Dates=H","DateFormat=P","Fill=—","Direction=H","UseDPDF=Y")</f>
        <v>#NAME?</v>
      </c>
    </row>
    <row r="24" spans="1:8">
      <c r="A24" s="8" t="s">
        <v>426</v>
      </c>
      <c r="B24" s="8" t="s">
        <v>427</v>
      </c>
      <c r="C24" s="9" t="e">
        <f ca="1">_xll.BDH("JBH AU Equity","BS_GROSS_FIX_ASSET","FY 2019","FY 2019","Currency=AUD","Period=FY","BEST_FPERIOD_OVERRIDE=FY","FILING_STATUS=MR","SCALING_FORMAT=MLN","Sort=A","Dates=H","DateFormat=P","Fill=—","Direction=H","UseDPDF=Y")</f>
        <v>#NAME?</v>
      </c>
      <c r="D24" s="9" t="e">
        <f ca="1">_xll.BDH("JBH AU Equity","BS_GROSS_FIX_ASSET","FY 2020","FY 2020","Currency=AUD","Period=FY","BEST_FPERIOD_OVERRIDE=FY","FILING_STATUS=MR","SCALING_FORMAT=MLN","Sort=A","Dates=H","DateFormat=P","Fill=—","Direction=H","UseDPDF=Y")</f>
        <v>#NAME?</v>
      </c>
      <c r="E24" s="9" t="e">
        <f ca="1">_xll.BDH("JBH AU Equity","BS_GROSS_FIX_ASSET","FY 2021","FY 2021","Currency=AUD","Period=FY","BEST_FPERIOD_OVERRIDE=FY","FILING_STATUS=MR","SCALING_FORMAT=MLN","Sort=A","Dates=H","DateFormat=P","Fill=—","Direction=H","UseDPDF=Y")</f>
        <v>#NAME?</v>
      </c>
      <c r="F24" s="9" t="e">
        <f ca="1">_xll.BDH("JBH AU Equity","BS_GROSS_FIX_ASSET","FY 2022","FY 2022","Currency=AUD","Period=FY","BEST_FPERIOD_OVERRIDE=FY","FILING_STATUS=MR","SCALING_FORMAT=MLN","Sort=A","Dates=H","DateFormat=P","Fill=—","Direction=H","UseDPDF=Y")</f>
        <v>#NAME?</v>
      </c>
      <c r="G24" s="9" t="e">
        <f ca="1">_xll.BDH("JBH AU Equity","BS_GROSS_FIX_ASSET","FY 2023","FY 2023","Currency=AUD","Period=FY","BEST_FPERIOD_OVERRIDE=FY","FILING_STATUS=MR","SCALING_FORMAT=MLN","Sort=A","Dates=H","DateFormat=P","Fill=—","Direction=H","UseDPDF=Y")</f>
        <v>#NAME?</v>
      </c>
      <c r="H24" s="9" t="e">
        <f ca="1">_xll.BDH("JBH AU Equity","BS_GROSS_FIX_ASSET","FY 2024","FY 2024","Currency=AUD","Period=FY","BEST_FPERIOD_OVERRIDE=FY","FILING_STATUS=MR","SCALING_FORMAT=MLN","Sort=A","Dates=H","DateFormat=P","Fill=—","Direction=H","UseDPDF=Y")</f>
        <v>#NAME?</v>
      </c>
    </row>
    <row r="25" spans="1:8">
      <c r="A25" s="8" t="s">
        <v>428</v>
      </c>
      <c r="B25" s="8" t="s">
        <v>429</v>
      </c>
      <c r="C25" s="9" t="e">
        <f ca="1">_xll.BDH("JBH AU Equity","BS_ACCUM_DEPR","FY 2019","FY 2019","Currency=AUD","Period=FY","BEST_FPERIOD_OVERRIDE=FY","FILING_STATUS=MR","SCALING_FORMAT=MLN","Sort=A","Dates=H","DateFormat=P","Fill=—","Direction=H","UseDPDF=Y")</f>
        <v>#NAME?</v>
      </c>
      <c r="D25" s="9" t="e">
        <f ca="1">_xll.BDH("JBH AU Equity","BS_ACCUM_DEPR","FY 2020","FY 2020","Currency=AUD","Period=FY","BEST_FPERIOD_OVERRIDE=FY","FILING_STATUS=MR","SCALING_FORMAT=MLN","Sort=A","Dates=H","DateFormat=P","Fill=—","Direction=H","UseDPDF=Y")</f>
        <v>#NAME?</v>
      </c>
      <c r="E25" s="9" t="e">
        <f ca="1">_xll.BDH("JBH AU Equity","BS_ACCUM_DEPR","FY 2021","FY 2021","Currency=AUD","Period=FY","BEST_FPERIOD_OVERRIDE=FY","FILING_STATUS=MR","SCALING_FORMAT=MLN","Sort=A","Dates=H","DateFormat=P","Fill=—","Direction=H","UseDPDF=Y")</f>
        <v>#NAME?</v>
      </c>
      <c r="F25" s="9" t="e">
        <f ca="1">_xll.BDH("JBH AU Equity","BS_ACCUM_DEPR","FY 2022","FY 2022","Currency=AUD","Period=FY","BEST_FPERIOD_OVERRIDE=FY","FILING_STATUS=MR","SCALING_FORMAT=MLN","Sort=A","Dates=H","DateFormat=P","Fill=—","Direction=H","UseDPDF=Y")</f>
        <v>#NAME?</v>
      </c>
      <c r="G25" s="9" t="e">
        <f ca="1">_xll.BDH("JBH AU Equity","BS_ACCUM_DEPR","FY 2023","FY 2023","Currency=AUD","Period=FY","BEST_FPERIOD_OVERRIDE=FY","FILING_STATUS=MR","SCALING_FORMAT=MLN","Sort=A","Dates=H","DateFormat=P","Fill=—","Direction=H","UseDPDF=Y")</f>
        <v>#NAME?</v>
      </c>
      <c r="H25" s="9" t="e">
        <f ca="1">_xll.BDH("JBH AU Equity","BS_ACCUM_DEPR","FY 2024","FY 2024","Currency=AUD","Period=FY","BEST_FPERIOD_OVERRIDE=FY","FILING_STATUS=MR","SCALING_FORMAT=MLN","Sort=A","Dates=H","DateFormat=P","Fill=—","Direction=H","UseDPDF=Y")</f>
        <v>#NAME?</v>
      </c>
    </row>
    <row r="26" spans="1:8">
      <c r="A26" s="8" t="s">
        <v>430</v>
      </c>
      <c r="B26" s="8" t="s">
        <v>431</v>
      </c>
      <c r="C26" s="9" t="e">
        <f ca="1">_xll.BDH("JBH AU Equity","BS_LT_INVEST","FY 2019","FY 2019","Currency=AUD","Period=FY","BEST_FPERIOD_OVERRIDE=FY","FILING_STATUS=MR","SCALING_FORMAT=MLN","Sort=A","Dates=H","DateFormat=P","Fill=—","Direction=H","UseDPDF=Y")</f>
        <v>#NAME?</v>
      </c>
      <c r="D26" s="9" t="e">
        <f ca="1">_xll.BDH("JBH AU Equity","BS_LT_INVEST","FY 2020","FY 2020","Currency=AUD","Period=FY","BEST_FPERIOD_OVERRIDE=FY","FILING_STATUS=MR","SCALING_FORMAT=MLN","Sort=A","Dates=H","DateFormat=P","Fill=—","Direction=H","UseDPDF=Y")</f>
        <v>#NAME?</v>
      </c>
      <c r="E26" s="9" t="e">
        <f ca="1">_xll.BDH("JBH AU Equity","BS_LT_INVEST","FY 2021","FY 2021","Currency=AUD","Period=FY","BEST_FPERIOD_OVERRIDE=FY","FILING_STATUS=MR","SCALING_FORMAT=MLN","Sort=A","Dates=H","DateFormat=P","Fill=—","Direction=H","UseDPDF=Y")</f>
        <v>#NAME?</v>
      </c>
      <c r="F26" s="9" t="e">
        <f ca="1">_xll.BDH("JBH AU Equity","BS_LT_INVEST","FY 2022","FY 2022","Currency=AUD","Period=FY","BEST_FPERIOD_OVERRIDE=FY","FILING_STATUS=MR","SCALING_FORMAT=MLN","Sort=A","Dates=H","DateFormat=P","Fill=—","Direction=H","UseDPDF=Y")</f>
        <v>#NAME?</v>
      </c>
      <c r="G26" s="9" t="e">
        <f ca="1">_xll.BDH("JBH AU Equity","BS_LT_INVEST","FY 2023","FY 2023","Currency=AUD","Period=FY","BEST_FPERIOD_OVERRIDE=FY","FILING_STATUS=MR","SCALING_FORMAT=MLN","Sort=A","Dates=H","DateFormat=P","Fill=—","Direction=H","UseDPDF=Y")</f>
        <v>#NAME?</v>
      </c>
      <c r="H26" s="9" t="e">
        <f ca="1">_xll.BDH("JBH AU Equity","BS_LT_INVEST","FY 2024","FY 2024","Currency=AUD","Period=FY","BEST_FPERIOD_OVERRIDE=FY","FILING_STATUS=MR","SCALING_FORMAT=MLN","Sort=A","Dates=H","DateFormat=P","Fill=—","Direction=H","UseDPDF=Y")</f>
        <v>#NAME?</v>
      </c>
    </row>
    <row r="27" spans="1:8">
      <c r="A27" s="8" t="s">
        <v>432</v>
      </c>
      <c r="B27" s="8" t="s">
        <v>433</v>
      </c>
      <c r="C27" s="9" t="e">
        <f ca="1">_xll.BDH("JBH AU Equity","BS_OTHER_ASSETS_DEF_CHRG_OTHER","FY 2019","FY 2019","Currency=AUD","Period=FY","BEST_FPERIOD_OVERRIDE=FY","FILING_STATUS=MR","SCALING_FORMAT=MLN","Sort=A","Dates=H","DateFormat=P","Fill=—","Direction=H","UseDPDF=Y")</f>
        <v>#NAME?</v>
      </c>
      <c r="D27" s="9" t="e">
        <f ca="1">_xll.BDH("JBH AU Equity","BS_OTHER_ASSETS_DEF_CHRG_OTHER","FY 2020","FY 2020","Currency=AUD","Period=FY","BEST_FPERIOD_OVERRIDE=FY","FILING_STATUS=MR","SCALING_FORMAT=MLN","Sort=A","Dates=H","DateFormat=P","Fill=—","Direction=H","UseDPDF=Y")</f>
        <v>#NAME?</v>
      </c>
      <c r="E27" s="9" t="e">
        <f ca="1">_xll.BDH("JBH AU Equity","BS_OTHER_ASSETS_DEF_CHRG_OTHER","FY 2021","FY 2021","Currency=AUD","Period=FY","BEST_FPERIOD_OVERRIDE=FY","FILING_STATUS=MR","SCALING_FORMAT=MLN","Sort=A","Dates=H","DateFormat=P","Fill=—","Direction=H","UseDPDF=Y")</f>
        <v>#NAME?</v>
      </c>
      <c r="F27" s="9" t="e">
        <f ca="1">_xll.BDH("JBH AU Equity","BS_OTHER_ASSETS_DEF_CHRG_OTHER","FY 2022","FY 2022","Currency=AUD","Period=FY","BEST_FPERIOD_OVERRIDE=FY","FILING_STATUS=MR","SCALING_FORMAT=MLN","Sort=A","Dates=H","DateFormat=P","Fill=—","Direction=H","UseDPDF=Y")</f>
        <v>#NAME?</v>
      </c>
      <c r="G27" s="9" t="e">
        <f ca="1">_xll.BDH("JBH AU Equity","BS_OTHER_ASSETS_DEF_CHRG_OTHER","FY 2023","FY 2023","Currency=AUD","Period=FY","BEST_FPERIOD_OVERRIDE=FY","FILING_STATUS=MR","SCALING_FORMAT=MLN","Sort=A","Dates=H","DateFormat=P","Fill=—","Direction=H","UseDPDF=Y")</f>
        <v>#NAME?</v>
      </c>
      <c r="H27" s="9" t="e">
        <f ca="1">_xll.BDH("JBH AU Equity","BS_OTHER_ASSETS_DEF_CHRG_OTHER","FY 2024","FY 2024","Currency=AUD","Period=FY","BEST_FPERIOD_OVERRIDE=FY","FILING_STATUS=MR","SCALING_FORMAT=MLN","Sort=A","Dates=H","DateFormat=P","Fill=—","Direction=H","UseDPDF=Y")</f>
        <v>#NAME?</v>
      </c>
    </row>
    <row r="28" spans="1:8">
      <c r="A28" s="8" t="s">
        <v>434</v>
      </c>
      <c r="B28" s="8" t="s">
        <v>435</v>
      </c>
      <c r="C28" s="9" t="e">
        <f ca="1">_xll.BDH("JBH AU Equity","BS_DISCLOSED_INTANGIBLES","FY 2019","FY 2019","Currency=AUD","Period=FY","BEST_FPERIOD_OVERRIDE=FY","FILING_STATUS=MR","SCALING_FORMAT=MLN","Sort=A","Dates=H","DateFormat=P","Fill=—","Direction=H","UseDPDF=Y")</f>
        <v>#NAME?</v>
      </c>
      <c r="D28" s="9" t="e">
        <f ca="1">_xll.BDH("JBH AU Equity","BS_DISCLOSED_INTANGIBLES","FY 2020","FY 2020","Currency=AUD","Period=FY","BEST_FPERIOD_OVERRIDE=FY","FILING_STATUS=MR","SCALING_FORMAT=MLN","Sort=A","Dates=H","DateFormat=P","Fill=—","Direction=H","UseDPDF=Y")</f>
        <v>#NAME?</v>
      </c>
      <c r="E28" s="9" t="e">
        <f ca="1">_xll.BDH("JBH AU Equity","BS_DISCLOSED_INTANGIBLES","FY 2021","FY 2021","Currency=AUD","Period=FY","BEST_FPERIOD_OVERRIDE=FY","FILING_STATUS=MR","SCALING_FORMAT=MLN","Sort=A","Dates=H","DateFormat=P","Fill=—","Direction=H","UseDPDF=Y")</f>
        <v>#NAME?</v>
      </c>
      <c r="F28" s="9" t="e">
        <f ca="1">_xll.BDH("JBH AU Equity","BS_DISCLOSED_INTANGIBLES","FY 2022","FY 2022","Currency=AUD","Period=FY","BEST_FPERIOD_OVERRIDE=FY","FILING_STATUS=MR","SCALING_FORMAT=MLN","Sort=A","Dates=H","DateFormat=P","Fill=—","Direction=H","UseDPDF=Y")</f>
        <v>#NAME?</v>
      </c>
      <c r="G28" s="9" t="e">
        <f ca="1">_xll.BDH("JBH AU Equity","BS_DISCLOSED_INTANGIBLES","FY 2023","FY 2023","Currency=AUD","Period=FY","BEST_FPERIOD_OVERRIDE=FY","FILING_STATUS=MR","SCALING_FORMAT=MLN","Sort=A","Dates=H","DateFormat=P","Fill=—","Direction=H","UseDPDF=Y")</f>
        <v>#NAME?</v>
      </c>
      <c r="H28" s="9" t="e">
        <f ca="1">_xll.BDH("JBH AU Equity","BS_DISCLOSED_INTANGIBLES","FY 2024","FY 2024","Currency=AUD","Period=FY","BEST_FPERIOD_OVERRIDE=FY","FILING_STATUS=MR","SCALING_FORMAT=MLN","Sort=A","Dates=H","DateFormat=P","Fill=—","Direction=H","UseDPDF=Y")</f>
        <v>#NAME?</v>
      </c>
    </row>
    <row r="29" spans="1:8">
      <c r="A29" s="15" t="s">
        <v>436</v>
      </c>
      <c r="B29" s="15" t="s">
        <v>437</v>
      </c>
      <c r="C29" s="16" t="e">
        <f ca="1">_xll.BDH("JBH AU Equity","BS_GOODWILL","FY 2019","FY 2019","Currency=AUD","Period=FY","BEST_FPERIOD_OVERRIDE=FY","FILING_STATUS=MR","SCALING_FORMAT=MLN","Sort=A","Dates=H","DateFormat=P","Fill=—","Direction=H","UseDPDF=Y")</f>
        <v>#NAME?</v>
      </c>
      <c r="D29" s="16" t="e">
        <f ca="1">_xll.BDH("JBH AU Equity","BS_GOODWILL","FY 2020","FY 2020","Currency=AUD","Period=FY","BEST_FPERIOD_OVERRIDE=FY","FILING_STATUS=MR","SCALING_FORMAT=MLN","Sort=A","Dates=H","DateFormat=P","Fill=—","Direction=H","UseDPDF=Y")</f>
        <v>#NAME?</v>
      </c>
      <c r="E29" s="16" t="e">
        <f ca="1">_xll.BDH("JBH AU Equity","BS_GOODWILL","FY 2021","FY 2021","Currency=AUD","Period=FY","BEST_FPERIOD_OVERRIDE=FY","FILING_STATUS=MR","SCALING_FORMAT=MLN","Sort=A","Dates=H","DateFormat=P","Fill=—","Direction=H","UseDPDF=Y")</f>
        <v>#NAME?</v>
      </c>
      <c r="F29" s="16" t="e">
        <f ca="1">_xll.BDH("JBH AU Equity","BS_GOODWILL","FY 2022","FY 2022","Currency=AUD","Period=FY","BEST_FPERIOD_OVERRIDE=FY","FILING_STATUS=MR","SCALING_FORMAT=MLN","Sort=A","Dates=H","DateFormat=P","Fill=—","Direction=H","UseDPDF=Y")</f>
        <v>#NAME?</v>
      </c>
      <c r="G29" s="16" t="e">
        <f ca="1">_xll.BDH("JBH AU Equity","BS_GOODWILL","FY 2023","FY 2023","Currency=AUD","Period=FY","BEST_FPERIOD_OVERRIDE=FY","FILING_STATUS=MR","SCALING_FORMAT=MLN","Sort=A","Dates=H","DateFormat=P","Fill=—","Direction=H","UseDPDF=Y")</f>
        <v>#NAME?</v>
      </c>
      <c r="H29" s="16" t="e">
        <f ca="1">_xll.BDH("JBH AU Equity","BS_GOODWILL","FY 2024","FY 2024","Currency=AUD","Period=FY","BEST_FPERIOD_OVERRIDE=FY","FILING_STATUS=MR","SCALING_FORMAT=MLN","Sort=A","Dates=H","DateFormat=P","Fill=—","Direction=H","UseDPDF=Y")</f>
        <v>#NAME?</v>
      </c>
    </row>
    <row r="30" spans="1:8">
      <c r="A30" s="15" t="s">
        <v>438</v>
      </c>
      <c r="B30" s="15" t="s">
        <v>439</v>
      </c>
      <c r="C30" s="16" t="e">
        <f ca="1">_xll.BDH("JBH AU Equity","OTHER_INTANGIBLE_ASSETS_DETAILED","FY 2019","FY 2019","Currency=AUD","Period=FY","BEST_FPERIOD_OVERRIDE=FY","FILING_STATUS=MR","SCALING_FORMAT=MLN","Sort=A","Dates=H","DateFormat=P","Fill=—","Direction=H","UseDPDF=Y")</f>
        <v>#NAME?</v>
      </c>
      <c r="D30" s="16" t="e">
        <f ca="1">_xll.BDH("JBH AU Equity","OTHER_INTANGIBLE_ASSETS_DETAILED","FY 2020","FY 2020","Currency=AUD","Period=FY","BEST_FPERIOD_OVERRIDE=FY","FILING_STATUS=MR","SCALING_FORMAT=MLN","Sort=A","Dates=H","DateFormat=P","Fill=—","Direction=H","UseDPDF=Y")</f>
        <v>#NAME?</v>
      </c>
      <c r="E30" s="16" t="e">
        <f ca="1">_xll.BDH("JBH AU Equity","OTHER_INTANGIBLE_ASSETS_DETAILED","FY 2021","FY 2021","Currency=AUD","Period=FY","BEST_FPERIOD_OVERRIDE=FY","FILING_STATUS=MR","SCALING_FORMAT=MLN","Sort=A","Dates=H","DateFormat=P","Fill=—","Direction=H","UseDPDF=Y")</f>
        <v>#NAME?</v>
      </c>
      <c r="F30" s="16" t="e">
        <f ca="1">_xll.BDH("JBH AU Equity","OTHER_INTANGIBLE_ASSETS_DETAILED","FY 2022","FY 2022","Currency=AUD","Period=FY","BEST_FPERIOD_OVERRIDE=FY","FILING_STATUS=MR","SCALING_FORMAT=MLN","Sort=A","Dates=H","DateFormat=P","Fill=—","Direction=H","UseDPDF=Y")</f>
        <v>#NAME?</v>
      </c>
      <c r="G30" s="16" t="e">
        <f ca="1">_xll.BDH("JBH AU Equity","OTHER_INTANGIBLE_ASSETS_DETAILED","FY 2023","FY 2023","Currency=AUD","Period=FY","BEST_FPERIOD_OVERRIDE=FY","FILING_STATUS=MR","SCALING_FORMAT=MLN","Sort=A","Dates=H","DateFormat=P","Fill=—","Direction=H","UseDPDF=Y")</f>
        <v>#NAME?</v>
      </c>
      <c r="H30" s="16" t="e">
        <f ca="1">_xll.BDH("JBH AU Equity","OTHER_INTANGIBLE_ASSETS_DETAILED","FY 2024","FY 2024","Currency=AUD","Period=FY","BEST_FPERIOD_OVERRIDE=FY","FILING_STATUS=MR","SCALING_FORMAT=MLN","Sort=A","Dates=H","DateFormat=P","Fill=—","Direction=H","UseDPDF=Y")</f>
        <v>#NAME?</v>
      </c>
    </row>
    <row r="31" spans="1:8">
      <c r="A31" s="8" t="s">
        <v>440</v>
      </c>
      <c r="B31" s="8" t="s">
        <v>441</v>
      </c>
      <c r="C31" s="9" t="e">
        <f ca="1">_xll.BDH("JBH AU Equity","BS_PREPAID_EXPENSE_LT","FY 2019","FY 2019","Currency=AUD","Period=FY","BEST_FPERIOD_OVERRIDE=FY","FILING_STATUS=MR","SCALING_FORMAT=MLN","Sort=A","Dates=H","DateFormat=P","Fill=—","Direction=H","UseDPDF=Y")</f>
        <v>#NAME?</v>
      </c>
      <c r="D31" s="9" t="e">
        <f ca="1">_xll.BDH("JBH AU Equity","BS_PREPAID_EXPENSE_LT","FY 2020","FY 2020","Currency=AUD","Period=FY","BEST_FPERIOD_OVERRIDE=FY","FILING_STATUS=MR","SCALING_FORMAT=MLN","Sort=A","Dates=H","DateFormat=P","Fill=—","Direction=H","UseDPDF=Y")</f>
        <v>#NAME?</v>
      </c>
      <c r="E31" s="9" t="e">
        <f ca="1">_xll.BDH("JBH AU Equity","BS_PREPAID_EXPENSE_LT","FY 2021","FY 2021","Currency=AUD","Period=FY","BEST_FPERIOD_OVERRIDE=FY","FILING_STATUS=MR","SCALING_FORMAT=MLN","Sort=A","Dates=H","DateFormat=P","Fill=—","Direction=H","UseDPDF=Y")</f>
        <v>#NAME?</v>
      </c>
      <c r="F31" s="9" t="e">
        <f ca="1">_xll.BDH("JBH AU Equity","BS_PREPAID_EXPENSE_LT","FY 2022","FY 2022","Currency=AUD","Period=FY","BEST_FPERIOD_OVERRIDE=FY","FILING_STATUS=MR","SCALING_FORMAT=MLN","Sort=A","Dates=H","DateFormat=P","Fill=—","Direction=H","UseDPDF=Y")</f>
        <v>#NAME?</v>
      </c>
      <c r="G31" s="9" t="e">
        <f ca="1">_xll.BDH("JBH AU Equity","BS_PREPAID_EXPENSE_LT","FY 2023","FY 2023","Currency=AUD","Period=FY","BEST_FPERIOD_OVERRIDE=FY","FILING_STATUS=MR","SCALING_FORMAT=MLN","Sort=A","Dates=H","DateFormat=P","Fill=—","Direction=H","UseDPDF=Y")</f>
        <v>#NAME?</v>
      </c>
      <c r="H31" s="9" t="e">
        <f ca="1">_xll.BDH("JBH AU Equity","BS_PREPAID_EXPENSE_LT","FY 2024","FY 2024","Currency=AUD","Period=FY","BEST_FPERIOD_OVERRIDE=FY","FILING_STATUS=MR","SCALING_FORMAT=MLN","Sort=A","Dates=H","DateFormat=P","Fill=—","Direction=H","UseDPDF=Y")</f>
        <v>#NAME?</v>
      </c>
    </row>
    <row r="32" spans="1:8">
      <c r="A32" s="8" t="s">
        <v>442</v>
      </c>
      <c r="B32" s="8" t="s">
        <v>443</v>
      </c>
      <c r="C32" s="9" t="e">
        <f ca="1">_xll.BDH("JBH AU Equity","BS_DEFERRED_TAX_ASSETS_LT","FY 2019","FY 2019","Currency=AUD","Period=FY","BEST_FPERIOD_OVERRIDE=FY","FILING_STATUS=MR","SCALING_FORMAT=MLN","Sort=A","Dates=H","DateFormat=P","Fill=—","Direction=H","UseDPDF=Y")</f>
        <v>#NAME?</v>
      </c>
      <c r="D32" s="9" t="e">
        <f ca="1">_xll.BDH("JBH AU Equity","BS_DEFERRED_TAX_ASSETS_LT","FY 2020","FY 2020","Currency=AUD","Period=FY","BEST_FPERIOD_OVERRIDE=FY","FILING_STATUS=MR","SCALING_FORMAT=MLN","Sort=A","Dates=H","DateFormat=P","Fill=—","Direction=H","UseDPDF=Y")</f>
        <v>#NAME?</v>
      </c>
      <c r="E32" s="9" t="e">
        <f ca="1">_xll.BDH("JBH AU Equity","BS_DEFERRED_TAX_ASSETS_LT","FY 2021","FY 2021","Currency=AUD","Period=FY","BEST_FPERIOD_OVERRIDE=FY","FILING_STATUS=MR","SCALING_FORMAT=MLN","Sort=A","Dates=H","DateFormat=P","Fill=—","Direction=H","UseDPDF=Y")</f>
        <v>#NAME?</v>
      </c>
      <c r="F32" s="9" t="e">
        <f ca="1">_xll.BDH("JBH AU Equity","BS_DEFERRED_TAX_ASSETS_LT","FY 2022","FY 2022","Currency=AUD","Period=FY","BEST_FPERIOD_OVERRIDE=FY","FILING_STATUS=MR","SCALING_FORMAT=MLN","Sort=A","Dates=H","DateFormat=P","Fill=—","Direction=H","UseDPDF=Y")</f>
        <v>#NAME?</v>
      </c>
      <c r="G32" s="9" t="e">
        <f ca="1">_xll.BDH("JBH AU Equity","BS_DEFERRED_TAX_ASSETS_LT","FY 2023","FY 2023","Currency=AUD","Period=FY","BEST_FPERIOD_OVERRIDE=FY","FILING_STATUS=MR","SCALING_FORMAT=MLN","Sort=A","Dates=H","DateFormat=P","Fill=—","Direction=H","UseDPDF=Y")</f>
        <v>#NAME?</v>
      </c>
      <c r="H32" s="9" t="e">
        <f ca="1">_xll.BDH("JBH AU Equity","BS_DEFERRED_TAX_ASSETS_LT","FY 2024","FY 2024","Currency=AUD","Period=FY","BEST_FPERIOD_OVERRIDE=FY","FILING_STATUS=MR","SCALING_FORMAT=MLN","Sort=A","Dates=H","DateFormat=P","Fill=—","Direction=H","UseDPDF=Y")</f>
        <v>#NAME?</v>
      </c>
    </row>
    <row r="33" spans="1:8">
      <c r="A33" s="8" t="s">
        <v>419</v>
      </c>
      <c r="B33" s="8" t="s">
        <v>444</v>
      </c>
      <c r="C33" s="9" t="e">
        <f ca="1">_xll.BDH("JBH AU Equity","BS_DERIV_HEDGING_ASST_LT","FY 2019","FY 2019","Currency=AUD","Period=FY","BEST_FPERIOD_OVERRIDE=FY","FILING_STATUS=MR","SCALING_FORMAT=MLN","Sort=A","Dates=H","DateFormat=P","Fill=—","Direction=H","UseDPDF=Y")</f>
        <v>#NAME?</v>
      </c>
      <c r="D33" s="9" t="e">
        <f ca="1">_xll.BDH("JBH AU Equity","BS_DERIV_HEDGING_ASST_LT","FY 2020","FY 2020","Currency=AUD","Period=FY","BEST_FPERIOD_OVERRIDE=FY","FILING_STATUS=MR","SCALING_FORMAT=MLN","Sort=A","Dates=H","DateFormat=P","Fill=—","Direction=H","UseDPDF=Y")</f>
        <v>#NAME?</v>
      </c>
      <c r="E33" s="9" t="e">
        <f ca="1">_xll.BDH("JBH AU Equity","BS_DERIV_HEDGING_ASST_LT","FY 2021","FY 2021","Currency=AUD","Period=FY","BEST_FPERIOD_OVERRIDE=FY","FILING_STATUS=MR","SCALING_FORMAT=MLN","Sort=A","Dates=H","DateFormat=P","Fill=—","Direction=H","UseDPDF=Y")</f>
        <v>#NAME?</v>
      </c>
      <c r="F33" s="9" t="e">
        <f ca="1">_xll.BDH("JBH AU Equity","BS_DERIV_HEDGING_ASST_LT","FY 2022","FY 2022","Currency=AUD","Period=FY","BEST_FPERIOD_OVERRIDE=FY","FILING_STATUS=MR","SCALING_FORMAT=MLN","Sort=A","Dates=H","DateFormat=P","Fill=—","Direction=H","UseDPDF=Y")</f>
        <v>#NAME?</v>
      </c>
      <c r="G33" s="9" t="e">
        <f ca="1">_xll.BDH("JBH AU Equity","BS_DERIV_HEDGING_ASST_LT","FY 2023","FY 2023","Currency=AUD","Period=FY","BEST_FPERIOD_OVERRIDE=FY","FILING_STATUS=MR","SCALING_FORMAT=MLN","Sort=A","Dates=H","DateFormat=P","Fill=—","Direction=H","UseDPDF=Y")</f>
        <v>#NAME?</v>
      </c>
      <c r="H33" s="9" t="e">
        <f ca="1">_xll.BDH("JBH AU Equity","BS_DERIV_HEDGING_ASST_LT","FY 2024","FY 2024","Currency=AUD","Period=FY","BEST_FPERIOD_OVERRIDE=FY","FILING_STATUS=MR","SCALING_FORMAT=MLN","Sort=A","Dates=H","DateFormat=P","Fill=—","Direction=H","UseDPDF=Y")</f>
        <v>#NAME?</v>
      </c>
    </row>
    <row r="34" spans="1:8">
      <c r="A34" s="8" t="s">
        <v>445</v>
      </c>
      <c r="B34" s="8" t="s">
        <v>446</v>
      </c>
      <c r="C34" s="9" t="e">
        <f ca="1">_xll.BDH("JBH AU Equity","BS_INVEST_IN_ASSOC_CO","FY 2019","FY 2019","Currency=AUD","Period=FY","BEST_FPERIOD_OVERRIDE=FY","FILING_STATUS=MR","SCALING_FORMAT=MLN","Sort=A","Dates=H","DateFormat=P","Fill=—","Direction=H","UseDPDF=Y")</f>
        <v>#NAME?</v>
      </c>
      <c r="D34" s="9" t="e">
        <f ca="1">_xll.BDH("JBH AU Equity","BS_INVEST_IN_ASSOC_CO","FY 2020","FY 2020","Currency=AUD","Period=FY","BEST_FPERIOD_OVERRIDE=FY","FILING_STATUS=MR","SCALING_FORMAT=MLN","Sort=A","Dates=H","DateFormat=P","Fill=—","Direction=H","UseDPDF=Y")</f>
        <v>#NAME?</v>
      </c>
      <c r="E34" s="9" t="e">
        <f ca="1">_xll.BDH("JBH AU Equity","BS_INVEST_IN_ASSOC_CO","FY 2021","FY 2021","Currency=AUD","Period=FY","BEST_FPERIOD_OVERRIDE=FY","FILING_STATUS=MR","SCALING_FORMAT=MLN","Sort=A","Dates=H","DateFormat=P","Fill=—","Direction=H","UseDPDF=Y")</f>
        <v>#NAME?</v>
      </c>
      <c r="F34" s="9" t="e">
        <f ca="1">_xll.BDH("JBH AU Equity","BS_INVEST_IN_ASSOC_CO","FY 2022","FY 2022","Currency=AUD","Period=FY","BEST_FPERIOD_OVERRIDE=FY","FILING_STATUS=MR","SCALING_FORMAT=MLN","Sort=A","Dates=H","DateFormat=P","Fill=—","Direction=H","UseDPDF=Y")</f>
        <v>#NAME?</v>
      </c>
      <c r="G34" s="9" t="e">
        <f ca="1">_xll.BDH("JBH AU Equity","BS_INVEST_IN_ASSOC_CO","FY 2023","FY 2023","Currency=AUD","Period=FY","BEST_FPERIOD_OVERRIDE=FY","FILING_STATUS=MR","SCALING_FORMAT=MLN","Sort=A","Dates=H","DateFormat=P","Fill=—","Direction=H","UseDPDF=Y")</f>
        <v>#NAME?</v>
      </c>
      <c r="H34" s="9" t="e">
        <f ca="1">_xll.BDH("JBH AU Equity","BS_INVEST_IN_ASSOC_CO","FY 2024","FY 2024","Currency=AUD","Period=FY","BEST_FPERIOD_OVERRIDE=FY","FILING_STATUS=MR","SCALING_FORMAT=MLN","Sort=A","Dates=H","DateFormat=P","Fill=—","Direction=H","UseDPDF=Y")</f>
        <v>#NAME?</v>
      </c>
    </row>
    <row r="35" spans="1:8">
      <c r="A35" s="8" t="s">
        <v>447</v>
      </c>
      <c r="B35" s="8" t="s">
        <v>448</v>
      </c>
      <c r="C35" s="9" t="e">
        <f ca="1">_xll.BDH("JBH AU Equity","OTHER_NONCURRENT_ASSETS_DETAILED","FY 2019","FY 2019","Currency=AUD","Period=FY","BEST_FPERIOD_OVERRIDE=FY","FILING_STATUS=MR","SCALING_FORMAT=MLN","Sort=A","Dates=H","DateFormat=P","Fill=—","Direction=H","UseDPDF=Y")</f>
        <v>#NAME?</v>
      </c>
      <c r="D35" s="9" t="e">
        <f ca="1">_xll.BDH("JBH AU Equity","OTHER_NONCURRENT_ASSETS_DETAILED","FY 2020","FY 2020","Currency=AUD","Period=FY","BEST_FPERIOD_OVERRIDE=FY","FILING_STATUS=MR","SCALING_FORMAT=MLN","Sort=A","Dates=H","DateFormat=P","Fill=—","Direction=H","UseDPDF=Y")</f>
        <v>#NAME?</v>
      </c>
      <c r="E35" s="9" t="e">
        <f ca="1">_xll.BDH("JBH AU Equity","OTHER_NONCURRENT_ASSETS_DETAILED","FY 2021","FY 2021","Currency=AUD","Period=FY","BEST_FPERIOD_OVERRIDE=FY","FILING_STATUS=MR","SCALING_FORMAT=MLN","Sort=A","Dates=H","DateFormat=P","Fill=—","Direction=H","UseDPDF=Y")</f>
        <v>#NAME?</v>
      </c>
      <c r="F35" s="9" t="e">
        <f ca="1">_xll.BDH("JBH AU Equity","OTHER_NONCURRENT_ASSETS_DETAILED","FY 2022","FY 2022","Currency=AUD","Period=FY","BEST_FPERIOD_OVERRIDE=FY","FILING_STATUS=MR","SCALING_FORMAT=MLN","Sort=A","Dates=H","DateFormat=P","Fill=—","Direction=H","UseDPDF=Y")</f>
        <v>#NAME?</v>
      </c>
      <c r="G35" s="9" t="e">
        <f ca="1">_xll.BDH("JBH AU Equity","OTHER_NONCURRENT_ASSETS_DETAILED","FY 2023","FY 2023","Currency=AUD","Period=FY","BEST_FPERIOD_OVERRIDE=FY","FILING_STATUS=MR","SCALING_FORMAT=MLN","Sort=A","Dates=H","DateFormat=P","Fill=—","Direction=H","UseDPDF=Y")</f>
        <v>#NAME?</v>
      </c>
      <c r="H35" s="9" t="e">
        <f ca="1">_xll.BDH("JBH AU Equity","OTHER_NONCURRENT_ASSETS_DETAILED","FY 2024","FY 2024","Currency=AUD","Period=FY","BEST_FPERIOD_OVERRIDE=FY","FILING_STATUS=MR","SCALING_FORMAT=MLN","Sort=A","Dates=H","DateFormat=P","Fill=—","Direction=H","UseDPDF=Y")</f>
        <v>#NAME?</v>
      </c>
    </row>
    <row r="36" spans="1:8">
      <c r="A36" s="11" t="s">
        <v>449</v>
      </c>
      <c r="B36" s="11" t="s">
        <v>450</v>
      </c>
      <c r="C36" s="14" t="e">
        <f ca="1">_xll.BDH("JBH AU Equity","BS_TOT_NON_CUR_ASSET","FY 2019","FY 2019","Currency=AUD","Period=FY","BEST_FPERIOD_OVERRIDE=FY","FILING_STATUS=MR","SCALING_FORMAT=MLN","Sort=A","Dates=H","DateFormat=P","Fill=—","Direction=H","UseDPDF=Y")</f>
        <v>#NAME?</v>
      </c>
      <c r="D36" s="14" t="e">
        <f ca="1">_xll.BDH("JBH AU Equity","BS_TOT_NON_CUR_ASSET","FY 2020","FY 2020","Currency=AUD","Period=FY","BEST_FPERIOD_OVERRIDE=FY","FILING_STATUS=MR","SCALING_FORMAT=MLN","Sort=A","Dates=H","DateFormat=P","Fill=—","Direction=H","UseDPDF=Y")</f>
        <v>#NAME?</v>
      </c>
      <c r="E36" s="14" t="e">
        <f ca="1">_xll.BDH("JBH AU Equity","BS_TOT_NON_CUR_ASSET","FY 2021","FY 2021","Currency=AUD","Period=FY","BEST_FPERIOD_OVERRIDE=FY","FILING_STATUS=MR","SCALING_FORMAT=MLN","Sort=A","Dates=H","DateFormat=P","Fill=—","Direction=H","UseDPDF=Y")</f>
        <v>#NAME?</v>
      </c>
      <c r="F36" s="14" t="e">
        <f ca="1">_xll.BDH("JBH AU Equity","BS_TOT_NON_CUR_ASSET","FY 2022","FY 2022","Currency=AUD","Period=FY","BEST_FPERIOD_OVERRIDE=FY","FILING_STATUS=MR","SCALING_FORMAT=MLN","Sort=A","Dates=H","DateFormat=P","Fill=—","Direction=H","UseDPDF=Y")</f>
        <v>#NAME?</v>
      </c>
      <c r="G36" s="14" t="e">
        <f ca="1">_xll.BDH("JBH AU Equity","BS_TOT_NON_CUR_ASSET","FY 2023","FY 2023","Currency=AUD","Period=FY","BEST_FPERIOD_OVERRIDE=FY","FILING_STATUS=MR","SCALING_FORMAT=MLN","Sort=A","Dates=H","DateFormat=P","Fill=—","Direction=H","UseDPDF=Y")</f>
        <v>#NAME?</v>
      </c>
      <c r="H36" s="14" t="e">
        <f ca="1">_xll.BDH("JBH AU Equity","BS_TOT_NON_CUR_ASSET","FY 2024","FY 2024","Currency=AUD","Period=FY","BEST_FPERIOD_OVERRIDE=FY","FILING_STATUS=MR","SCALING_FORMAT=MLN","Sort=A","Dates=H","DateFormat=P","Fill=—","Direction=H","UseDPDF=Y")</f>
        <v>#NAME?</v>
      </c>
    </row>
    <row r="37" spans="1:8">
      <c r="A37" s="11" t="s">
        <v>51</v>
      </c>
      <c r="B37" s="11" t="s">
        <v>52</v>
      </c>
      <c r="C37" s="14" t="e">
        <f ca="1">_xll.BDH("JBH AU Equity","BS_TOT_ASSET","FY 2019","FY 2019","Currency=AUD","Period=FY","BEST_FPERIOD_OVERRIDE=FY","FILING_STATUS=MR","SCALING_FORMAT=MLN","Sort=A","Dates=H","DateFormat=P","Fill=—","Direction=H","UseDPDF=Y")</f>
        <v>#NAME?</v>
      </c>
      <c r="D37" s="14" t="e">
        <f ca="1">_xll.BDH("JBH AU Equity","BS_TOT_ASSET","FY 2020","FY 2020","Currency=AUD","Period=FY","BEST_FPERIOD_OVERRIDE=FY","FILING_STATUS=MR","SCALING_FORMAT=MLN","Sort=A","Dates=H","DateFormat=P","Fill=—","Direction=H","UseDPDF=Y")</f>
        <v>#NAME?</v>
      </c>
      <c r="E37" s="14" t="e">
        <f ca="1">_xll.BDH("JBH AU Equity","BS_TOT_ASSET","FY 2021","FY 2021","Currency=AUD","Period=FY","BEST_FPERIOD_OVERRIDE=FY","FILING_STATUS=MR","SCALING_FORMAT=MLN","Sort=A","Dates=H","DateFormat=P","Fill=—","Direction=H","UseDPDF=Y")</f>
        <v>#NAME?</v>
      </c>
      <c r="F37" s="14" t="e">
        <f ca="1">_xll.BDH("JBH AU Equity","BS_TOT_ASSET","FY 2022","FY 2022","Currency=AUD","Period=FY","BEST_FPERIOD_OVERRIDE=FY","FILING_STATUS=MR","SCALING_FORMAT=MLN","Sort=A","Dates=H","DateFormat=P","Fill=—","Direction=H","UseDPDF=Y")</f>
        <v>#NAME?</v>
      </c>
      <c r="G37" s="14" t="e">
        <f ca="1">_xll.BDH("JBH AU Equity","BS_TOT_ASSET","FY 2023","FY 2023","Currency=AUD","Period=FY","BEST_FPERIOD_OVERRIDE=FY","FILING_STATUS=MR","SCALING_FORMAT=MLN","Sort=A","Dates=H","DateFormat=P","Fill=—","Direction=H","UseDPDF=Y")</f>
        <v>#NAME?</v>
      </c>
      <c r="H37" s="14" t="e">
        <f ca="1">_xll.BDH("JBH AU Equity","BS_TOT_ASSET","FY 2024","FY 2024","Currency=AUD","Period=FY","BEST_FPERIOD_OVERRIDE=FY","FILING_STATUS=MR","SCALING_FORMAT=MLN","Sort=A","Dates=H","DateFormat=P","Fill=—","Direction=H","UseDPDF=Y")</f>
        <v>#NAME?</v>
      </c>
    </row>
    <row r="38" spans="1:8">
      <c r="A38" s="11"/>
      <c r="B38" s="12"/>
      <c r="C38" s="12"/>
      <c r="D38" s="12"/>
      <c r="E38" s="12"/>
      <c r="F38" s="12"/>
      <c r="G38" s="12"/>
      <c r="H38" s="12"/>
    </row>
    <row r="39" spans="1:8">
      <c r="A39" s="11" t="s">
        <v>451</v>
      </c>
      <c r="B39" s="12"/>
      <c r="C39" s="12"/>
      <c r="D39" s="12"/>
      <c r="E39" s="12"/>
      <c r="F39" s="12"/>
      <c r="G39" s="12"/>
      <c r="H39" s="12"/>
    </row>
    <row r="40" spans="1:8">
      <c r="A40" s="8" t="s">
        <v>452</v>
      </c>
      <c r="B40" s="8" t="s">
        <v>453</v>
      </c>
      <c r="C40" s="9" t="e">
        <f ca="1">_xll.BDH("JBH AU Equity","ACCT_PAYABLE_ACCRUALS_DETAILED","FY 2019","FY 2019","Currency=AUD","Period=FY","BEST_FPERIOD_OVERRIDE=FY","FILING_STATUS=MR","SCALING_FORMAT=MLN","Sort=A","Dates=H","DateFormat=P","Fill=—","Direction=H","UseDPDF=Y")</f>
        <v>#NAME?</v>
      </c>
      <c r="D40" s="9" t="e">
        <f ca="1">_xll.BDH("JBH AU Equity","ACCT_PAYABLE_ACCRUALS_DETAILED","FY 2020","FY 2020","Currency=AUD","Period=FY","BEST_FPERIOD_OVERRIDE=FY","FILING_STATUS=MR","SCALING_FORMAT=MLN","Sort=A","Dates=H","DateFormat=P","Fill=—","Direction=H","UseDPDF=Y")</f>
        <v>#NAME?</v>
      </c>
      <c r="E40" s="9" t="e">
        <f ca="1">_xll.BDH("JBH AU Equity","ACCT_PAYABLE_ACCRUALS_DETAILED","FY 2021","FY 2021","Currency=AUD","Period=FY","BEST_FPERIOD_OVERRIDE=FY","FILING_STATUS=MR","SCALING_FORMAT=MLN","Sort=A","Dates=H","DateFormat=P","Fill=—","Direction=H","UseDPDF=Y")</f>
        <v>#NAME?</v>
      </c>
      <c r="F40" s="9" t="e">
        <f ca="1">_xll.BDH("JBH AU Equity","ACCT_PAYABLE_ACCRUALS_DETAILED","FY 2022","FY 2022","Currency=AUD","Period=FY","BEST_FPERIOD_OVERRIDE=FY","FILING_STATUS=MR","SCALING_FORMAT=MLN","Sort=A","Dates=H","DateFormat=P","Fill=—","Direction=H","UseDPDF=Y")</f>
        <v>#NAME?</v>
      </c>
      <c r="G40" s="9" t="e">
        <f ca="1">_xll.BDH("JBH AU Equity","ACCT_PAYABLE_ACCRUALS_DETAILED","FY 2023","FY 2023","Currency=AUD","Period=FY","BEST_FPERIOD_OVERRIDE=FY","FILING_STATUS=MR","SCALING_FORMAT=MLN","Sort=A","Dates=H","DateFormat=P","Fill=—","Direction=H","UseDPDF=Y")</f>
        <v>#NAME?</v>
      </c>
      <c r="H40" s="9" t="e">
        <f ca="1">_xll.BDH("JBH AU Equity","ACCT_PAYABLE_ACCRUALS_DETAILED","FY 2024","FY 2024","Currency=AUD","Period=FY","BEST_FPERIOD_OVERRIDE=FY","FILING_STATUS=MR","SCALING_FORMAT=MLN","Sort=A","Dates=H","DateFormat=P","Fill=—","Direction=H","UseDPDF=Y")</f>
        <v>#NAME?</v>
      </c>
    </row>
    <row r="41" spans="1:8">
      <c r="A41" s="8" t="s">
        <v>454</v>
      </c>
      <c r="B41" s="8" t="s">
        <v>455</v>
      </c>
      <c r="C41" s="9" t="e">
        <f ca="1">_xll.BDH("JBH AU Equity","BS_ACCT_PAYABLE","FY 2019","FY 2019","Currency=AUD","Period=FY","BEST_FPERIOD_OVERRIDE=FY","FILING_STATUS=MR","SCALING_FORMAT=MLN","Sort=A","Dates=H","DateFormat=P","Fill=—","Direction=H","UseDPDF=Y")</f>
        <v>#NAME?</v>
      </c>
      <c r="D41" s="9" t="e">
        <f ca="1">_xll.BDH("JBH AU Equity","BS_ACCT_PAYABLE","FY 2020","FY 2020","Currency=AUD","Period=FY","BEST_FPERIOD_OVERRIDE=FY","FILING_STATUS=MR","SCALING_FORMAT=MLN","Sort=A","Dates=H","DateFormat=P","Fill=—","Direction=H","UseDPDF=Y")</f>
        <v>#NAME?</v>
      </c>
      <c r="E41" s="9" t="e">
        <f ca="1">_xll.BDH("JBH AU Equity","BS_ACCT_PAYABLE","FY 2021","FY 2021","Currency=AUD","Period=FY","BEST_FPERIOD_OVERRIDE=FY","FILING_STATUS=MR","SCALING_FORMAT=MLN","Sort=A","Dates=H","DateFormat=P","Fill=—","Direction=H","UseDPDF=Y")</f>
        <v>#NAME?</v>
      </c>
      <c r="F41" s="9" t="e">
        <f ca="1">_xll.BDH("JBH AU Equity","BS_ACCT_PAYABLE","FY 2022","FY 2022","Currency=AUD","Period=FY","BEST_FPERIOD_OVERRIDE=FY","FILING_STATUS=MR","SCALING_FORMAT=MLN","Sort=A","Dates=H","DateFormat=P","Fill=—","Direction=H","UseDPDF=Y")</f>
        <v>#NAME?</v>
      </c>
      <c r="G41" s="9" t="e">
        <f ca="1">_xll.BDH("JBH AU Equity","BS_ACCT_PAYABLE","FY 2023","FY 2023","Currency=AUD","Period=FY","BEST_FPERIOD_OVERRIDE=FY","FILING_STATUS=MR","SCALING_FORMAT=MLN","Sort=A","Dates=H","DateFormat=P","Fill=—","Direction=H","UseDPDF=Y")</f>
        <v>#NAME?</v>
      </c>
      <c r="H41" s="9" t="e">
        <f ca="1">_xll.BDH("JBH AU Equity","BS_ACCT_PAYABLE","FY 2024","FY 2024","Currency=AUD","Period=FY","BEST_FPERIOD_OVERRIDE=FY","FILING_STATUS=MR","SCALING_FORMAT=MLN","Sort=A","Dates=H","DateFormat=P","Fill=—","Direction=H","UseDPDF=Y")</f>
        <v>#NAME?</v>
      </c>
    </row>
    <row r="42" spans="1:8">
      <c r="A42" s="8" t="s">
        <v>456</v>
      </c>
      <c r="B42" s="8" t="s">
        <v>457</v>
      </c>
      <c r="C42" s="9" t="e">
        <f ca="1">_xll.BDH("JBH AU Equity","BS_TAXES_PAYABLE","FY 2019","FY 2019","Currency=AUD","Period=FY","BEST_FPERIOD_OVERRIDE=FY","FILING_STATUS=MR","SCALING_FORMAT=MLN","Sort=A","Dates=H","DateFormat=P","Fill=—","Direction=H","UseDPDF=Y")</f>
        <v>#NAME?</v>
      </c>
      <c r="D42" s="9" t="e">
        <f ca="1">_xll.BDH("JBH AU Equity","BS_TAXES_PAYABLE","FY 2020","FY 2020","Currency=AUD","Period=FY","BEST_FPERIOD_OVERRIDE=FY","FILING_STATUS=MR","SCALING_FORMAT=MLN","Sort=A","Dates=H","DateFormat=P","Fill=—","Direction=H","UseDPDF=Y")</f>
        <v>#NAME?</v>
      </c>
      <c r="E42" s="9" t="e">
        <f ca="1">_xll.BDH("JBH AU Equity","BS_TAXES_PAYABLE","FY 2021","FY 2021","Currency=AUD","Period=FY","BEST_FPERIOD_OVERRIDE=FY","FILING_STATUS=MR","SCALING_FORMAT=MLN","Sort=A","Dates=H","DateFormat=P","Fill=—","Direction=H","UseDPDF=Y")</f>
        <v>#NAME?</v>
      </c>
      <c r="F42" s="9" t="e">
        <f ca="1">_xll.BDH("JBH AU Equity","BS_TAXES_PAYABLE","FY 2022","FY 2022","Currency=AUD","Period=FY","BEST_FPERIOD_OVERRIDE=FY","FILING_STATUS=MR","SCALING_FORMAT=MLN","Sort=A","Dates=H","DateFormat=P","Fill=—","Direction=H","UseDPDF=Y")</f>
        <v>#NAME?</v>
      </c>
      <c r="G42" s="9" t="e">
        <f ca="1">_xll.BDH("JBH AU Equity","BS_TAXES_PAYABLE","FY 2023","FY 2023","Currency=AUD","Period=FY","BEST_FPERIOD_OVERRIDE=FY","FILING_STATUS=MR","SCALING_FORMAT=MLN","Sort=A","Dates=H","DateFormat=P","Fill=—","Direction=H","UseDPDF=Y")</f>
        <v>#NAME?</v>
      </c>
      <c r="H42" s="9" t="e">
        <f ca="1">_xll.BDH("JBH AU Equity","BS_TAXES_PAYABLE","FY 2024","FY 2024","Currency=AUD","Period=FY","BEST_FPERIOD_OVERRIDE=FY","FILING_STATUS=MR","SCALING_FORMAT=MLN","Sort=A","Dates=H","DateFormat=P","Fill=—","Direction=H","UseDPDF=Y")</f>
        <v>#NAME?</v>
      </c>
    </row>
    <row r="43" spans="1:8">
      <c r="A43" s="8" t="s">
        <v>458</v>
      </c>
      <c r="B43" s="8" t="s">
        <v>459</v>
      </c>
      <c r="C43" s="9" t="e">
        <f ca="1">_xll.BDH("JBH AU Equity","BS_ACCRUAL","FY 2019","FY 2019","Currency=AUD","Period=FY","BEST_FPERIOD_OVERRIDE=FY","FILING_STATUS=MR","SCALING_FORMAT=MLN","Sort=A","Dates=H","DateFormat=P","Fill=—","Direction=H","UseDPDF=Y")</f>
        <v>#NAME?</v>
      </c>
      <c r="D43" s="9" t="e">
        <f ca="1">_xll.BDH("JBH AU Equity","BS_ACCRUAL","FY 2020","FY 2020","Currency=AUD","Period=FY","BEST_FPERIOD_OVERRIDE=FY","FILING_STATUS=MR","SCALING_FORMAT=MLN","Sort=A","Dates=H","DateFormat=P","Fill=—","Direction=H","UseDPDF=Y")</f>
        <v>#NAME?</v>
      </c>
      <c r="E43" s="9" t="e">
        <f ca="1">_xll.BDH("JBH AU Equity","BS_ACCRUAL","FY 2021","FY 2021","Currency=AUD","Period=FY","BEST_FPERIOD_OVERRIDE=FY","FILING_STATUS=MR","SCALING_FORMAT=MLN","Sort=A","Dates=H","DateFormat=P","Fill=—","Direction=H","UseDPDF=Y")</f>
        <v>#NAME?</v>
      </c>
      <c r="F43" s="9" t="e">
        <f ca="1">_xll.BDH("JBH AU Equity","BS_ACCRUAL","FY 2022","FY 2022","Currency=AUD","Period=FY","BEST_FPERIOD_OVERRIDE=FY","FILING_STATUS=MR","SCALING_FORMAT=MLN","Sort=A","Dates=H","DateFormat=P","Fill=—","Direction=H","UseDPDF=Y")</f>
        <v>#NAME?</v>
      </c>
      <c r="G43" s="9" t="e">
        <f ca="1">_xll.BDH("JBH AU Equity","BS_ACCRUAL","FY 2023","FY 2023","Currency=AUD","Period=FY","BEST_FPERIOD_OVERRIDE=FY","FILING_STATUS=MR","SCALING_FORMAT=MLN","Sort=A","Dates=H","DateFormat=P","Fill=—","Direction=H","UseDPDF=Y")</f>
        <v>#NAME?</v>
      </c>
      <c r="H43" s="9" t="e">
        <f ca="1">_xll.BDH("JBH AU Equity","BS_ACCRUAL","FY 2024","FY 2024","Currency=AUD","Period=FY","BEST_FPERIOD_OVERRIDE=FY","FILING_STATUS=MR","SCALING_FORMAT=MLN","Sort=A","Dates=H","DateFormat=P","Fill=—","Direction=H","UseDPDF=Y")</f>
        <v>#NAME?</v>
      </c>
    </row>
    <row r="44" spans="1:8">
      <c r="A44" s="8" t="s">
        <v>460</v>
      </c>
      <c r="B44" s="8" t="s">
        <v>461</v>
      </c>
      <c r="C44" s="9" t="e">
        <f ca="1">_xll.BDH("JBH AU Equity","BS_ST_BORROW","FY 2019","FY 2019","Currency=AUD","Period=FY","BEST_FPERIOD_OVERRIDE=FY","FILING_STATUS=MR","SCALING_FORMAT=MLN","Sort=A","Dates=H","DateFormat=P","Fill=—","Direction=H","UseDPDF=Y")</f>
        <v>#NAME?</v>
      </c>
      <c r="D44" s="9" t="e">
        <f ca="1">_xll.BDH("JBH AU Equity","BS_ST_BORROW","FY 2020","FY 2020","Currency=AUD","Period=FY","BEST_FPERIOD_OVERRIDE=FY","FILING_STATUS=MR","SCALING_FORMAT=MLN","Sort=A","Dates=H","DateFormat=P","Fill=—","Direction=H","UseDPDF=Y")</f>
        <v>#NAME?</v>
      </c>
      <c r="E44" s="9" t="e">
        <f ca="1">_xll.BDH("JBH AU Equity","BS_ST_BORROW","FY 2021","FY 2021","Currency=AUD","Period=FY","BEST_FPERIOD_OVERRIDE=FY","FILING_STATUS=MR","SCALING_FORMAT=MLN","Sort=A","Dates=H","DateFormat=P","Fill=—","Direction=H","UseDPDF=Y")</f>
        <v>#NAME?</v>
      </c>
      <c r="F44" s="9" t="e">
        <f ca="1">_xll.BDH("JBH AU Equity","BS_ST_BORROW","FY 2022","FY 2022","Currency=AUD","Period=FY","BEST_FPERIOD_OVERRIDE=FY","FILING_STATUS=MR","SCALING_FORMAT=MLN","Sort=A","Dates=H","DateFormat=P","Fill=—","Direction=H","UseDPDF=Y")</f>
        <v>#NAME?</v>
      </c>
      <c r="G44" s="9" t="e">
        <f ca="1">_xll.BDH("JBH AU Equity","BS_ST_BORROW","FY 2023","FY 2023","Currency=AUD","Period=FY","BEST_FPERIOD_OVERRIDE=FY","FILING_STATUS=MR","SCALING_FORMAT=MLN","Sort=A","Dates=H","DateFormat=P","Fill=—","Direction=H","UseDPDF=Y")</f>
        <v>#NAME?</v>
      </c>
      <c r="H44" s="9" t="e">
        <f ca="1">_xll.BDH("JBH AU Equity","BS_ST_BORROW","FY 2024","FY 2024","Currency=AUD","Period=FY","BEST_FPERIOD_OVERRIDE=FY","FILING_STATUS=MR","SCALING_FORMAT=MLN","Sort=A","Dates=H","DateFormat=P","Fill=—","Direction=H","UseDPDF=Y")</f>
        <v>#NAME?</v>
      </c>
    </row>
    <row r="45" spans="1:8">
      <c r="A45" s="8" t="s">
        <v>462</v>
      </c>
      <c r="B45" s="8" t="s">
        <v>463</v>
      </c>
      <c r="C45" s="9" t="e">
        <f ca="1">_xll.BDH("JBH AU Equity","SHORT_TERM_DEBT_DETAILED","FY 2019","FY 2019","Currency=AUD","Period=FY","BEST_FPERIOD_OVERRIDE=FY","FILING_STATUS=MR","SCALING_FORMAT=MLN","Sort=A","Dates=H","DateFormat=P","Fill=—","Direction=H","UseDPDF=Y")</f>
        <v>#NAME?</v>
      </c>
      <c r="D45" s="9" t="e">
        <f ca="1">_xll.BDH("JBH AU Equity","SHORT_TERM_DEBT_DETAILED","FY 2020","FY 2020","Currency=AUD","Period=FY","BEST_FPERIOD_OVERRIDE=FY","FILING_STATUS=MR","SCALING_FORMAT=MLN","Sort=A","Dates=H","DateFormat=P","Fill=—","Direction=H","UseDPDF=Y")</f>
        <v>#NAME?</v>
      </c>
      <c r="E45" s="9" t="e">
        <f ca="1">_xll.BDH("JBH AU Equity","SHORT_TERM_DEBT_DETAILED","FY 2021","FY 2021","Currency=AUD","Period=FY","BEST_FPERIOD_OVERRIDE=FY","FILING_STATUS=MR","SCALING_FORMAT=MLN","Sort=A","Dates=H","DateFormat=P","Fill=—","Direction=H","UseDPDF=Y")</f>
        <v>#NAME?</v>
      </c>
      <c r="F45" s="9" t="e">
        <f ca="1">_xll.BDH("JBH AU Equity","SHORT_TERM_DEBT_DETAILED","FY 2022","FY 2022","Currency=AUD","Period=FY","BEST_FPERIOD_OVERRIDE=FY","FILING_STATUS=MR","SCALING_FORMAT=MLN","Sort=A","Dates=H","DateFormat=P","Fill=—","Direction=H","UseDPDF=Y")</f>
        <v>#NAME?</v>
      </c>
      <c r="G45" s="9" t="e">
        <f ca="1">_xll.BDH("JBH AU Equity","SHORT_TERM_DEBT_DETAILED","FY 2023","FY 2023","Currency=AUD","Period=FY","BEST_FPERIOD_OVERRIDE=FY","FILING_STATUS=MR","SCALING_FORMAT=MLN","Sort=A","Dates=H","DateFormat=P","Fill=—","Direction=H","UseDPDF=Y")</f>
        <v>#NAME?</v>
      </c>
      <c r="H45" s="9" t="e">
        <f ca="1">_xll.BDH("JBH AU Equity","SHORT_TERM_DEBT_DETAILED","FY 2024","FY 2024","Currency=AUD","Period=FY","BEST_FPERIOD_OVERRIDE=FY","FILING_STATUS=MR","SCALING_FORMAT=MLN","Sort=A","Dates=H","DateFormat=P","Fill=—","Direction=H","UseDPDF=Y")</f>
        <v>#NAME?</v>
      </c>
    </row>
    <row r="46" spans="1:8">
      <c r="A46" s="8" t="s">
        <v>464</v>
      </c>
      <c r="B46" s="8" t="s">
        <v>465</v>
      </c>
      <c r="C46" s="9" t="e">
        <f ca="1">_xll.BDH("JBH AU Equity","ST_CAPITALIZED_LEASE_LIABILITIES","FY 2019","FY 2019","Currency=AUD","Period=FY","BEST_FPERIOD_OVERRIDE=FY","FILING_STATUS=MR","SCALING_FORMAT=MLN","Sort=A","Dates=H","DateFormat=P","Fill=—","Direction=H","UseDPDF=Y")</f>
        <v>#NAME?</v>
      </c>
      <c r="D46" s="9" t="e">
        <f ca="1">_xll.BDH("JBH AU Equity","ST_CAPITALIZED_LEASE_LIABILITIES","FY 2020","FY 2020","Currency=AUD","Period=FY","BEST_FPERIOD_OVERRIDE=FY","FILING_STATUS=MR","SCALING_FORMAT=MLN","Sort=A","Dates=H","DateFormat=P","Fill=—","Direction=H","UseDPDF=Y")</f>
        <v>#NAME?</v>
      </c>
      <c r="E46" s="9" t="e">
        <f ca="1">_xll.BDH("JBH AU Equity","ST_CAPITALIZED_LEASE_LIABILITIES","FY 2021","FY 2021","Currency=AUD","Period=FY","BEST_FPERIOD_OVERRIDE=FY","FILING_STATUS=MR","SCALING_FORMAT=MLN","Sort=A","Dates=H","DateFormat=P","Fill=—","Direction=H","UseDPDF=Y")</f>
        <v>#NAME?</v>
      </c>
      <c r="F46" s="9" t="e">
        <f ca="1">_xll.BDH("JBH AU Equity","ST_CAPITALIZED_LEASE_LIABILITIES","FY 2022","FY 2022","Currency=AUD","Period=FY","BEST_FPERIOD_OVERRIDE=FY","FILING_STATUS=MR","SCALING_FORMAT=MLN","Sort=A","Dates=H","DateFormat=P","Fill=—","Direction=H","UseDPDF=Y")</f>
        <v>#NAME?</v>
      </c>
      <c r="G46" s="9" t="e">
        <f ca="1">_xll.BDH("JBH AU Equity","ST_CAPITALIZED_LEASE_LIABILITIES","FY 2023","FY 2023","Currency=AUD","Period=FY","BEST_FPERIOD_OVERRIDE=FY","FILING_STATUS=MR","SCALING_FORMAT=MLN","Sort=A","Dates=H","DateFormat=P","Fill=—","Direction=H","UseDPDF=Y")</f>
        <v>#NAME?</v>
      </c>
      <c r="H46" s="9" t="e">
        <f ca="1">_xll.BDH("JBH AU Equity","ST_CAPITALIZED_LEASE_LIABILITIES","FY 2024","FY 2024","Currency=AUD","Period=FY","BEST_FPERIOD_OVERRIDE=FY","FILING_STATUS=MR","SCALING_FORMAT=MLN","Sort=A","Dates=H","DateFormat=P","Fill=—","Direction=H","UseDPDF=Y")</f>
        <v>#NAME?</v>
      </c>
    </row>
    <row r="47" spans="1:8">
      <c r="A47" s="15" t="s">
        <v>466</v>
      </c>
      <c r="B47" s="15" t="s">
        <v>467</v>
      </c>
      <c r="C47" s="16" t="e">
        <f ca="1">_xll.BDH("JBH AU Equity","ST_CAPITAL_LEASE_OBLIGATIONS","FY 2019","FY 2019","Currency=AUD","Period=FY","BEST_FPERIOD_OVERRIDE=FY","FILING_STATUS=MR","SCALING_FORMAT=MLN","Sort=A","Dates=H","DateFormat=P","Fill=—","Direction=H","UseDPDF=Y")</f>
        <v>#NAME?</v>
      </c>
      <c r="D47" s="16" t="e">
        <f ca="1">_xll.BDH("JBH AU Equity","ST_CAPITAL_LEASE_OBLIGATIONS","FY 2020","FY 2020","Currency=AUD","Period=FY","BEST_FPERIOD_OVERRIDE=FY","FILING_STATUS=MR","SCALING_FORMAT=MLN","Sort=A","Dates=H","DateFormat=P","Fill=—","Direction=H","UseDPDF=Y")</f>
        <v>#NAME?</v>
      </c>
      <c r="E47" s="16" t="e">
        <f ca="1">_xll.BDH("JBH AU Equity","ST_CAPITAL_LEASE_OBLIGATIONS","FY 2021","FY 2021","Currency=AUD","Period=FY","BEST_FPERIOD_OVERRIDE=FY","FILING_STATUS=MR","SCALING_FORMAT=MLN","Sort=A","Dates=H","DateFormat=P","Fill=—","Direction=H","UseDPDF=Y")</f>
        <v>#NAME?</v>
      </c>
      <c r="F47" s="16" t="e">
        <f ca="1">_xll.BDH("JBH AU Equity","ST_CAPITAL_LEASE_OBLIGATIONS","FY 2022","FY 2022","Currency=AUD","Period=FY","BEST_FPERIOD_OVERRIDE=FY","FILING_STATUS=MR","SCALING_FORMAT=MLN","Sort=A","Dates=H","DateFormat=P","Fill=—","Direction=H","UseDPDF=Y")</f>
        <v>#NAME?</v>
      </c>
      <c r="G47" s="16" t="e">
        <f ca="1">_xll.BDH("JBH AU Equity","ST_CAPITAL_LEASE_OBLIGATIONS","FY 2023","FY 2023","Currency=AUD","Period=FY","BEST_FPERIOD_OVERRIDE=FY","FILING_STATUS=MR","SCALING_FORMAT=MLN","Sort=A","Dates=H","DateFormat=P","Fill=—","Direction=H","UseDPDF=Y")</f>
        <v>#NAME?</v>
      </c>
      <c r="H47" s="16" t="e">
        <f ca="1">_xll.BDH("JBH AU Equity","ST_CAPITAL_LEASE_OBLIGATIONS","FY 2024","FY 2024","Currency=AUD","Period=FY","BEST_FPERIOD_OVERRIDE=FY","FILING_STATUS=MR","SCALING_FORMAT=MLN","Sort=A","Dates=H","DateFormat=P","Fill=—","Direction=H","UseDPDF=Y")</f>
        <v>#NAME?</v>
      </c>
    </row>
    <row r="48" spans="1:8">
      <c r="A48" s="8" t="s">
        <v>468</v>
      </c>
      <c r="B48" s="8" t="s">
        <v>469</v>
      </c>
      <c r="C48" s="9" t="e">
        <f ca="1">_xll.BDH("JBH AU Equity","OTHER_CURRENT_LIABS_SUB_DETAILED","FY 2019","FY 2019","Currency=AUD","Period=FY","BEST_FPERIOD_OVERRIDE=FY","FILING_STATUS=MR","SCALING_FORMAT=MLN","Sort=A","Dates=H","DateFormat=P","Fill=—","Direction=H","UseDPDF=Y")</f>
        <v>#NAME?</v>
      </c>
      <c r="D48" s="9" t="e">
        <f ca="1">_xll.BDH("JBH AU Equity","OTHER_CURRENT_LIABS_SUB_DETAILED","FY 2020","FY 2020","Currency=AUD","Period=FY","BEST_FPERIOD_OVERRIDE=FY","FILING_STATUS=MR","SCALING_FORMAT=MLN","Sort=A","Dates=H","DateFormat=P","Fill=—","Direction=H","UseDPDF=Y")</f>
        <v>#NAME?</v>
      </c>
      <c r="E48" s="9" t="e">
        <f ca="1">_xll.BDH("JBH AU Equity","OTHER_CURRENT_LIABS_SUB_DETAILED","FY 2021","FY 2021","Currency=AUD","Period=FY","BEST_FPERIOD_OVERRIDE=FY","FILING_STATUS=MR","SCALING_FORMAT=MLN","Sort=A","Dates=H","DateFormat=P","Fill=—","Direction=H","UseDPDF=Y")</f>
        <v>#NAME?</v>
      </c>
      <c r="F48" s="9" t="e">
        <f ca="1">_xll.BDH("JBH AU Equity","OTHER_CURRENT_LIABS_SUB_DETAILED","FY 2022","FY 2022","Currency=AUD","Period=FY","BEST_FPERIOD_OVERRIDE=FY","FILING_STATUS=MR","SCALING_FORMAT=MLN","Sort=A","Dates=H","DateFormat=P","Fill=—","Direction=H","UseDPDF=Y")</f>
        <v>#NAME?</v>
      </c>
      <c r="G48" s="9" t="e">
        <f ca="1">_xll.BDH("JBH AU Equity","OTHER_CURRENT_LIABS_SUB_DETAILED","FY 2023","FY 2023","Currency=AUD","Period=FY","BEST_FPERIOD_OVERRIDE=FY","FILING_STATUS=MR","SCALING_FORMAT=MLN","Sort=A","Dates=H","DateFormat=P","Fill=—","Direction=H","UseDPDF=Y")</f>
        <v>#NAME?</v>
      </c>
      <c r="H48" s="9" t="e">
        <f ca="1">_xll.BDH("JBH AU Equity","OTHER_CURRENT_LIABS_SUB_DETAILED","FY 2024","FY 2024","Currency=AUD","Period=FY","BEST_FPERIOD_OVERRIDE=FY","FILING_STATUS=MR","SCALING_FORMAT=MLN","Sort=A","Dates=H","DateFormat=P","Fill=—","Direction=H","UseDPDF=Y")</f>
        <v>#NAME?</v>
      </c>
    </row>
    <row r="49" spans="1:8">
      <c r="A49" s="8" t="s">
        <v>470</v>
      </c>
      <c r="B49" s="8" t="s">
        <v>471</v>
      </c>
      <c r="C49" s="9" t="e">
        <f ca="1">_xll.BDH("JBH AU Equity","ST_DEFERRED_REVENUE","FY 2019","FY 2019","Currency=AUD","Period=FY","BEST_FPERIOD_OVERRIDE=FY","FILING_STATUS=MR","SCALING_FORMAT=MLN","Sort=A","Dates=H","DateFormat=P","Fill=—","Direction=H","UseDPDF=Y")</f>
        <v>#NAME?</v>
      </c>
      <c r="D49" s="9" t="e">
        <f ca="1">_xll.BDH("JBH AU Equity","ST_DEFERRED_REVENUE","FY 2020","FY 2020","Currency=AUD","Period=FY","BEST_FPERIOD_OVERRIDE=FY","FILING_STATUS=MR","SCALING_FORMAT=MLN","Sort=A","Dates=H","DateFormat=P","Fill=—","Direction=H","UseDPDF=Y")</f>
        <v>#NAME?</v>
      </c>
      <c r="E49" s="9" t="e">
        <f ca="1">_xll.BDH("JBH AU Equity","ST_DEFERRED_REVENUE","FY 2021","FY 2021","Currency=AUD","Period=FY","BEST_FPERIOD_OVERRIDE=FY","FILING_STATUS=MR","SCALING_FORMAT=MLN","Sort=A","Dates=H","DateFormat=P","Fill=—","Direction=H","UseDPDF=Y")</f>
        <v>#NAME?</v>
      </c>
      <c r="F49" s="9" t="e">
        <f ca="1">_xll.BDH("JBH AU Equity","ST_DEFERRED_REVENUE","FY 2022","FY 2022","Currency=AUD","Period=FY","BEST_FPERIOD_OVERRIDE=FY","FILING_STATUS=MR","SCALING_FORMAT=MLN","Sort=A","Dates=H","DateFormat=P","Fill=—","Direction=H","UseDPDF=Y")</f>
        <v>#NAME?</v>
      </c>
      <c r="G49" s="9" t="e">
        <f ca="1">_xll.BDH("JBH AU Equity","ST_DEFERRED_REVENUE","FY 2023","FY 2023","Currency=AUD","Period=FY","BEST_FPERIOD_OVERRIDE=FY","FILING_STATUS=MR","SCALING_FORMAT=MLN","Sort=A","Dates=H","DateFormat=P","Fill=—","Direction=H","UseDPDF=Y")</f>
        <v>#NAME?</v>
      </c>
      <c r="H49" s="9" t="e">
        <f ca="1">_xll.BDH("JBH AU Equity","ST_DEFERRED_REVENUE","FY 2024","FY 2024","Currency=AUD","Period=FY","BEST_FPERIOD_OVERRIDE=FY","FILING_STATUS=MR","SCALING_FORMAT=MLN","Sort=A","Dates=H","DateFormat=P","Fill=—","Direction=H","UseDPDF=Y")</f>
        <v>#NAME?</v>
      </c>
    </row>
    <row r="50" spans="1:8">
      <c r="A50" s="8" t="s">
        <v>472</v>
      </c>
      <c r="B50" s="8" t="s">
        <v>473</v>
      </c>
      <c r="C50" s="9" t="e">
        <f ca="1">_xll.BDH("JBH AU Equity","BS_DERIV_HEDGING_LIAB_ST","FY 2019","FY 2019","Currency=AUD","Period=FY","BEST_FPERIOD_OVERRIDE=FY","FILING_STATUS=MR","SCALING_FORMAT=MLN","Sort=A","Dates=H","DateFormat=P","Fill=—","Direction=H","UseDPDF=Y")</f>
        <v>#NAME?</v>
      </c>
      <c r="D50" s="9" t="e">
        <f ca="1">_xll.BDH("JBH AU Equity","BS_DERIV_HEDGING_LIAB_ST","FY 2020","FY 2020","Currency=AUD","Period=FY","BEST_FPERIOD_OVERRIDE=FY","FILING_STATUS=MR","SCALING_FORMAT=MLN","Sort=A","Dates=H","DateFormat=P","Fill=—","Direction=H","UseDPDF=Y")</f>
        <v>#NAME?</v>
      </c>
      <c r="E50" s="9" t="e">
        <f ca="1">_xll.BDH("JBH AU Equity","BS_DERIV_HEDGING_LIAB_ST","FY 2021","FY 2021","Currency=AUD","Period=FY","BEST_FPERIOD_OVERRIDE=FY","FILING_STATUS=MR","SCALING_FORMAT=MLN","Sort=A","Dates=H","DateFormat=P","Fill=—","Direction=H","UseDPDF=Y")</f>
        <v>#NAME?</v>
      </c>
      <c r="F50" s="9" t="e">
        <f ca="1">_xll.BDH("JBH AU Equity","BS_DERIV_HEDGING_LIAB_ST","FY 2022","FY 2022","Currency=AUD","Period=FY","BEST_FPERIOD_OVERRIDE=FY","FILING_STATUS=MR","SCALING_FORMAT=MLN","Sort=A","Dates=H","DateFormat=P","Fill=—","Direction=H","UseDPDF=Y")</f>
        <v>#NAME?</v>
      </c>
      <c r="G50" s="9" t="e">
        <f ca="1">_xll.BDH("JBH AU Equity","BS_DERIV_HEDGING_LIAB_ST","FY 2023","FY 2023","Currency=AUD","Period=FY","BEST_FPERIOD_OVERRIDE=FY","FILING_STATUS=MR","SCALING_FORMAT=MLN","Sort=A","Dates=H","DateFormat=P","Fill=—","Direction=H","UseDPDF=Y")</f>
        <v>#NAME?</v>
      </c>
      <c r="H50" s="9" t="e">
        <f ca="1">_xll.BDH("JBH AU Equity","BS_DERIV_HEDGING_LIAB_ST","FY 2024","FY 2024","Currency=AUD","Period=FY","BEST_FPERIOD_OVERRIDE=FY","FILING_STATUS=MR","SCALING_FORMAT=MLN","Sort=A","Dates=H","DateFormat=P","Fill=—","Direction=H","UseDPDF=Y")</f>
        <v>#NAME?</v>
      </c>
    </row>
    <row r="51" spans="1:8">
      <c r="A51" s="8" t="s">
        <v>474</v>
      </c>
      <c r="B51" s="8" t="s">
        <v>475</v>
      </c>
      <c r="C51" s="9" t="e">
        <f ca="1">_xll.BDH("JBH AU Equity","OTHER_CURRENT_LIABS_DETAILED","FY 2019","FY 2019","Currency=AUD","Period=FY","BEST_FPERIOD_OVERRIDE=FY","FILING_STATUS=MR","SCALING_FORMAT=MLN","Sort=A","Dates=H","DateFormat=P","Fill=—","Direction=H","UseDPDF=Y")</f>
        <v>#NAME?</v>
      </c>
      <c r="D51" s="9" t="e">
        <f ca="1">_xll.BDH("JBH AU Equity","OTHER_CURRENT_LIABS_DETAILED","FY 2020","FY 2020","Currency=AUD","Period=FY","BEST_FPERIOD_OVERRIDE=FY","FILING_STATUS=MR","SCALING_FORMAT=MLN","Sort=A","Dates=H","DateFormat=P","Fill=—","Direction=H","UseDPDF=Y")</f>
        <v>#NAME?</v>
      </c>
      <c r="E51" s="9" t="e">
        <f ca="1">_xll.BDH("JBH AU Equity","OTHER_CURRENT_LIABS_DETAILED","FY 2021","FY 2021","Currency=AUD","Period=FY","BEST_FPERIOD_OVERRIDE=FY","FILING_STATUS=MR","SCALING_FORMAT=MLN","Sort=A","Dates=H","DateFormat=P","Fill=—","Direction=H","UseDPDF=Y")</f>
        <v>#NAME?</v>
      </c>
      <c r="F51" s="9" t="e">
        <f ca="1">_xll.BDH("JBH AU Equity","OTHER_CURRENT_LIABS_DETAILED","FY 2022","FY 2022","Currency=AUD","Period=FY","BEST_FPERIOD_OVERRIDE=FY","FILING_STATUS=MR","SCALING_FORMAT=MLN","Sort=A","Dates=H","DateFormat=P","Fill=—","Direction=H","UseDPDF=Y")</f>
        <v>#NAME?</v>
      </c>
      <c r="G51" s="9" t="e">
        <f ca="1">_xll.BDH("JBH AU Equity","OTHER_CURRENT_LIABS_DETAILED","FY 2023","FY 2023","Currency=AUD","Period=FY","BEST_FPERIOD_OVERRIDE=FY","FILING_STATUS=MR","SCALING_FORMAT=MLN","Sort=A","Dates=H","DateFormat=P","Fill=—","Direction=H","UseDPDF=Y")</f>
        <v>#NAME?</v>
      </c>
      <c r="H51" s="9" t="e">
        <f ca="1">_xll.BDH("JBH AU Equity","OTHER_CURRENT_LIABS_DETAILED","FY 2024","FY 2024","Currency=AUD","Period=FY","BEST_FPERIOD_OVERRIDE=FY","FILING_STATUS=MR","SCALING_FORMAT=MLN","Sort=A","Dates=H","DateFormat=P","Fill=—","Direction=H","UseDPDF=Y")</f>
        <v>#NAME?</v>
      </c>
    </row>
    <row r="52" spans="1:8">
      <c r="A52" s="11" t="s">
        <v>476</v>
      </c>
      <c r="B52" s="11" t="s">
        <v>477</v>
      </c>
      <c r="C52" s="14" t="e">
        <f ca="1">_xll.BDH("JBH AU Equity","BS_CUR_LIAB","FY 2019","FY 2019","Currency=AUD","Period=FY","BEST_FPERIOD_OVERRIDE=FY","FILING_STATUS=MR","SCALING_FORMAT=MLN","Sort=A","Dates=H","DateFormat=P","Fill=—","Direction=H","UseDPDF=Y")</f>
        <v>#NAME?</v>
      </c>
      <c r="D52" s="14" t="e">
        <f ca="1">_xll.BDH("JBH AU Equity","BS_CUR_LIAB","FY 2020","FY 2020","Currency=AUD","Period=FY","BEST_FPERIOD_OVERRIDE=FY","FILING_STATUS=MR","SCALING_FORMAT=MLN","Sort=A","Dates=H","DateFormat=P","Fill=—","Direction=H","UseDPDF=Y")</f>
        <v>#NAME?</v>
      </c>
      <c r="E52" s="14" t="e">
        <f ca="1">_xll.BDH("JBH AU Equity","BS_CUR_LIAB","FY 2021","FY 2021","Currency=AUD","Period=FY","BEST_FPERIOD_OVERRIDE=FY","FILING_STATUS=MR","SCALING_FORMAT=MLN","Sort=A","Dates=H","DateFormat=P","Fill=—","Direction=H","UseDPDF=Y")</f>
        <v>#NAME?</v>
      </c>
      <c r="F52" s="14" t="e">
        <f ca="1">_xll.BDH("JBH AU Equity","BS_CUR_LIAB","FY 2022","FY 2022","Currency=AUD","Period=FY","BEST_FPERIOD_OVERRIDE=FY","FILING_STATUS=MR","SCALING_FORMAT=MLN","Sort=A","Dates=H","DateFormat=P","Fill=—","Direction=H","UseDPDF=Y")</f>
        <v>#NAME?</v>
      </c>
      <c r="G52" s="14" t="e">
        <f ca="1">_xll.BDH("JBH AU Equity","BS_CUR_LIAB","FY 2023","FY 2023","Currency=AUD","Period=FY","BEST_FPERIOD_OVERRIDE=FY","FILING_STATUS=MR","SCALING_FORMAT=MLN","Sort=A","Dates=H","DateFormat=P","Fill=—","Direction=H","UseDPDF=Y")</f>
        <v>#NAME?</v>
      </c>
      <c r="H52" s="14" t="e">
        <f ca="1">_xll.BDH("JBH AU Equity","BS_CUR_LIAB","FY 2024","FY 2024","Currency=AUD","Period=FY","BEST_FPERIOD_OVERRIDE=FY","FILING_STATUS=MR","SCALING_FORMAT=MLN","Sort=A","Dates=H","DateFormat=P","Fill=—","Direction=H","UseDPDF=Y")</f>
        <v>#NAME?</v>
      </c>
    </row>
    <row r="53" spans="1:8">
      <c r="A53" s="8" t="s">
        <v>478</v>
      </c>
      <c r="B53" s="8" t="s">
        <v>479</v>
      </c>
      <c r="C53" s="9" t="e">
        <f ca="1">_xll.BDH("JBH AU Equity","BS_LT_BORROW","FY 2019","FY 2019","Currency=AUD","Period=FY","BEST_FPERIOD_OVERRIDE=FY","FILING_STATUS=MR","SCALING_FORMAT=MLN","Sort=A","Dates=H","DateFormat=P","Fill=—","Direction=H","UseDPDF=Y")</f>
        <v>#NAME?</v>
      </c>
      <c r="D53" s="9" t="e">
        <f ca="1">_xll.BDH("JBH AU Equity","BS_LT_BORROW","FY 2020","FY 2020","Currency=AUD","Period=FY","BEST_FPERIOD_OVERRIDE=FY","FILING_STATUS=MR","SCALING_FORMAT=MLN","Sort=A","Dates=H","DateFormat=P","Fill=—","Direction=H","UseDPDF=Y")</f>
        <v>#NAME?</v>
      </c>
      <c r="E53" s="9" t="e">
        <f ca="1">_xll.BDH("JBH AU Equity","BS_LT_BORROW","FY 2021","FY 2021","Currency=AUD","Period=FY","BEST_FPERIOD_OVERRIDE=FY","FILING_STATUS=MR","SCALING_FORMAT=MLN","Sort=A","Dates=H","DateFormat=P","Fill=—","Direction=H","UseDPDF=Y")</f>
        <v>#NAME?</v>
      </c>
      <c r="F53" s="9" t="e">
        <f ca="1">_xll.BDH("JBH AU Equity","BS_LT_BORROW","FY 2022","FY 2022","Currency=AUD","Period=FY","BEST_FPERIOD_OVERRIDE=FY","FILING_STATUS=MR","SCALING_FORMAT=MLN","Sort=A","Dates=H","DateFormat=P","Fill=—","Direction=H","UseDPDF=Y")</f>
        <v>#NAME?</v>
      </c>
      <c r="G53" s="9" t="e">
        <f ca="1">_xll.BDH("JBH AU Equity","BS_LT_BORROW","FY 2023","FY 2023","Currency=AUD","Period=FY","BEST_FPERIOD_OVERRIDE=FY","FILING_STATUS=MR","SCALING_FORMAT=MLN","Sort=A","Dates=H","DateFormat=P","Fill=—","Direction=H","UseDPDF=Y")</f>
        <v>#NAME?</v>
      </c>
      <c r="H53" s="9" t="e">
        <f ca="1">_xll.BDH("JBH AU Equity","BS_LT_BORROW","FY 2024","FY 2024","Currency=AUD","Period=FY","BEST_FPERIOD_OVERRIDE=FY","FILING_STATUS=MR","SCALING_FORMAT=MLN","Sort=A","Dates=H","DateFormat=P","Fill=—","Direction=H","UseDPDF=Y")</f>
        <v>#NAME?</v>
      </c>
    </row>
    <row r="54" spans="1:8">
      <c r="A54" s="8" t="s">
        <v>480</v>
      </c>
      <c r="B54" s="8" t="s">
        <v>481</v>
      </c>
      <c r="C54" s="9" t="e">
        <f ca="1">_xll.BDH("JBH AU Equity","LONG_TERM_BORROWINGS_DETAILED","FY 2019","FY 2019","Currency=AUD","Period=FY","BEST_FPERIOD_OVERRIDE=FY","FILING_STATUS=MR","SCALING_FORMAT=MLN","Sort=A","Dates=H","DateFormat=P","Fill=—","Direction=H","UseDPDF=Y")</f>
        <v>#NAME?</v>
      </c>
      <c r="D54" s="9" t="e">
        <f ca="1">_xll.BDH("JBH AU Equity","LONG_TERM_BORROWINGS_DETAILED","FY 2020","FY 2020","Currency=AUD","Period=FY","BEST_FPERIOD_OVERRIDE=FY","FILING_STATUS=MR","SCALING_FORMAT=MLN","Sort=A","Dates=H","DateFormat=P","Fill=—","Direction=H","UseDPDF=Y")</f>
        <v>#NAME?</v>
      </c>
      <c r="E54" s="9" t="e">
        <f ca="1">_xll.BDH("JBH AU Equity","LONG_TERM_BORROWINGS_DETAILED","FY 2021","FY 2021","Currency=AUD","Period=FY","BEST_FPERIOD_OVERRIDE=FY","FILING_STATUS=MR","SCALING_FORMAT=MLN","Sort=A","Dates=H","DateFormat=P","Fill=—","Direction=H","UseDPDF=Y")</f>
        <v>#NAME?</v>
      </c>
      <c r="F54" s="9" t="e">
        <f ca="1">_xll.BDH("JBH AU Equity","LONG_TERM_BORROWINGS_DETAILED","FY 2022","FY 2022","Currency=AUD","Period=FY","BEST_FPERIOD_OVERRIDE=FY","FILING_STATUS=MR","SCALING_FORMAT=MLN","Sort=A","Dates=H","DateFormat=P","Fill=—","Direction=H","UseDPDF=Y")</f>
        <v>#NAME?</v>
      </c>
      <c r="G54" s="9" t="e">
        <f ca="1">_xll.BDH("JBH AU Equity","LONG_TERM_BORROWINGS_DETAILED","FY 2023","FY 2023","Currency=AUD","Period=FY","BEST_FPERIOD_OVERRIDE=FY","FILING_STATUS=MR","SCALING_FORMAT=MLN","Sort=A","Dates=H","DateFormat=P","Fill=—","Direction=H","UseDPDF=Y")</f>
        <v>#NAME?</v>
      </c>
      <c r="H54" s="9" t="e">
        <f ca="1">_xll.BDH("JBH AU Equity","LONG_TERM_BORROWINGS_DETAILED","FY 2024","FY 2024","Currency=AUD","Period=FY","BEST_FPERIOD_OVERRIDE=FY","FILING_STATUS=MR","SCALING_FORMAT=MLN","Sort=A","Dates=H","DateFormat=P","Fill=—","Direction=H","UseDPDF=Y")</f>
        <v>#NAME?</v>
      </c>
    </row>
    <row r="55" spans="1:8">
      <c r="A55" s="8" t="s">
        <v>482</v>
      </c>
      <c r="B55" s="8" t="s">
        <v>483</v>
      </c>
      <c r="C55" s="9" t="e">
        <f ca="1">_xll.BDH("JBH AU Equity","LT_CAPITALIZED_LEASE_LIABILITIES","FY 2019","FY 2019","Currency=AUD","Period=FY","BEST_FPERIOD_OVERRIDE=FY","FILING_STATUS=MR","SCALING_FORMAT=MLN","Sort=A","Dates=H","DateFormat=P","Fill=—","Direction=H","UseDPDF=Y")</f>
        <v>#NAME?</v>
      </c>
      <c r="D55" s="9" t="e">
        <f ca="1">_xll.BDH("JBH AU Equity","LT_CAPITALIZED_LEASE_LIABILITIES","FY 2020","FY 2020","Currency=AUD","Period=FY","BEST_FPERIOD_OVERRIDE=FY","FILING_STATUS=MR","SCALING_FORMAT=MLN","Sort=A","Dates=H","DateFormat=P","Fill=—","Direction=H","UseDPDF=Y")</f>
        <v>#NAME?</v>
      </c>
      <c r="E55" s="9" t="e">
        <f ca="1">_xll.BDH("JBH AU Equity","LT_CAPITALIZED_LEASE_LIABILITIES","FY 2021","FY 2021","Currency=AUD","Period=FY","BEST_FPERIOD_OVERRIDE=FY","FILING_STATUS=MR","SCALING_FORMAT=MLN","Sort=A","Dates=H","DateFormat=P","Fill=—","Direction=H","UseDPDF=Y")</f>
        <v>#NAME?</v>
      </c>
      <c r="F55" s="9" t="e">
        <f ca="1">_xll.BDH("JBH AU Equity","LT_CAPITALIZED_LEASE_LIABILITIES","FY 2022","FY 2022","Currency=AUD","Period=FY","BEST_FPERIOD_OVERRIDE=FY","FILING_STATUS=MR","SCALING_FORMAT=MLN","Sort=A","Dates=H","DateFormat=P","Fill=—","Direction=H","UseDPDF=Y")</f>
        <v>#NAME?</v>
      </c>
      <c r="G55" s="9" t="e">
        <f ca="1">_xll.BDH("JBH AU Equity","LT_CAPITALIZED_LEASE_LIABILITIES","FY 2023","FY 2023","Currency=AUD","Period=FY","BEST_FPERIOD_OVERRIDE=FY","FILING_STATUS=MR","SCALING_FORMAT=MLN","Sort=A","Dates=H","DateFormat=P","Fill=—","Direction=H","UseDPDF=Y")</f>
        <v>#NAME?</v>
      </c>
      <c r="H55" s="9" t="e">
        <f ca="1">_xll.BDH("JBH AU Equity","LT_CAPITALIZED_LEASE_LIABILITIES","FY 2024","FY 2024","Currency=AUD","Period=FY","BEST_FPERIOD_OVERRIDE=FY","FILING_STATUS=MR","SCALING_FORMAT=MLN","Sort=A","Dates=H","DateFormat=P","Fill=—","Direction=H","UseDPDF=Y")</f>
        <v>#NAME?</v>
      </c>
    </row>
    <row r="56" spans="1:8">
      <c r="A56" s="15" t="s">
        <v>484</v>
      </c>
      <c r="B56" s="15" t="s">
        <v>485</v>
      </c>
      <c r="C56" s="16" t="e">
        <f ca="1">_xll.BDH("JBH AU Equity","LT_CAPITAL_LEASE_OBLIGATIONS","FY 2019","FY 2019","Currency=AUD","Period=FY","BEST_FPERIOD_OVERRIDE=FY","FILING_STATUS=MR","SCALING_FORMAT=MLN","Sort=A","Dates=H","DateFormat=P","Fill=—","Direction=H","UseDPDF=Y")</f>
        <v>#NAME?</v>
      </c>
      <c r="D56" s="16" t="e">
        <f ca="1">_xll.BDH("JBH AU Equity","LT_CAPITAL_LEASE_OBLIGATIONS","FY 2020","FY 2020","Currency=AUD","Period=FY","BEST_FPERIOD_OVERRIDE=FY","FILING_STATUS=MR","SCALING_FORMAT=MLN","Sort=A","Dates=H","DateFormat=P","Fill=—","Direction=H","UseDPDF=Y")</f>
        <v>#NAME?</v>
      </c>
      <c r="E56" s="16" t="e">
        <f ca="1">_xll.BDH("JBH AU Equity","LT_CAPITAL_LEASE_OBLIGATIONS","FY 2021","FY 2021","Currency=AUD","Period=FY","BEST_FPERIOD_OVERRIDE=FY","FILING_STATUS=MR","SCALING_FORMAT=MLN","Sort=A","Dates=H","DateFormat=P","Fill=—","Direction=H","UseDPDF=Y")</f>
        <v>#NAME?</v>
      </c>
      <c r="F56" s="16" t="e">
        <f ca="1">_xll.BDH("JBH AU Equity","LT_CAPITAL_LEASE_OBLIGATIONS","FY 2022","FY 2022","Currency=AUD","Period=FY","BEST_FPERIOD_OVERRIDE=FY","FILING_STATUS=MR","SCALING_FORMAT=MLN","Sort=A","Dates=H","DateFormat=P","Fill=—","Direction=H","UseDPDF=Y")</f>
        <v>#NAME?</v>
      </c>
      <c r="G56" s="16" t="e">
        <f ca="1">_xll.BDH("JBH AU Equity","LT_CAPITAL_LEASE_OBLIGATIONS","FY 2023","FY 2023","Currency=AUD","Period=FY","BEST_FPERIOD_OVERRIDE=FY","FILING_STATUS=MR","SCALING_FORMAT=MLN","Sort=A","Dates=H","DateFormat=P","Fill=—","Direction=H","UseDPDF=Y")</f>
        <v>#NAME?</v>
      </c>
      <c r="H56" s="16" t="e">
        <f ca="1">_xll.BDH("JBH AU Equity","LT_CAPITAL_LEASE_OBLIGATIONS","FY 2024","FY 2024","Currency=AUD","Period=FY","BEST_FPERIOD_OVERRIDE=FY","FILING_STATUS=MR","SCALING_FORMAT=MLN","Sort=A","Dates=H","DateFormat=P","Fill=—","Direction=H","UseDPDF=Y")</f>
        <v>#NAME?</v>
      </c>
    </row>
    <row r="57" spans="1:8">
      <c r="A57" s="8" t="s">
        <v>486</v>
      </c>
      <c r="B57" s="8" t="s">
        <v>487</v>
      </c>
      <c r="C57" s="9" t="e">
        <f ca="1">_xll.BDH("JBH AU Equity","OTHER_NONCUR_LIABS_SUB_DETAILED","FY 2019","FY 2019","Currency=AUD","Period=FY","BEST_FPERIOD_OVERRIDE=FY","FILING_STATUS=MR","SCALING_FORMAT=MLN","Sort=A","Dates=H","DateFormat=P","Fill=—","Direction=H","UseDPDF=Y")</f>
        <v>#NAME?</v>
      </c>
      <c r="D57" s="9" t="e">
        <f ca="1">_xll.BDH("JBH AU Equity","OTHER_NONCUR_LIABS_SUB_DETAILED","FY 2020","FY 2020","Currency=AUD","Period=FY","BEST_FPERIOD_OVERRIDE=FY","FILING_STATUS=MR","SCALING_FORMAT=MLN","Sort=A","Dates=H","DateFormat=P","Fill=—","Direction=H","UseDPDF=Y")</f>
        <v>#NAME?</v>
      </c>
      <c r="E57" s="9" t="e">
        <f ca="1">_xll.BDH("JBH AU Equity","OTHER_NONCUR_LIABS_SUB_DETAILED","FY 2021","FY 2021","Currency=AUD","Period=FY","BEST_FPERIOD_OVERRIDE=FY","FILING_STATUS=MR","SCALING_FORMAT=MLN","Sort=A","Dates=H","DateFormat=P","Fill=—","Direction=H","UseDPDF=Y")</f>
        <v>#NAME?</v>
      </c>
      <c r="F57" s="9" t="e">
        <f ca="1">_xll.BDH("JBH AU Equity","OTHER_NONCUR_LIABS_SUB_DETAILED","FY 2022","FY 2022","Currency=AUD","Period=FY","BEST_FPERIOD_OVERRIDE=FY","FILING_STATUS=MR","SCALING_FORMAT=MLN","Sort=A","Dates=H","DateFormat=P","Fill=—","Direction=H","UseDPDF=Y")</f>
        <v>#NAME?</v>
      </c>
      <c r="G57" s="9" t="e">
        <f ca="1">_xll.BDH("JBH AU Equity","OTHER_NONCUR_LIABS_SUB_DETAILED","FY 2023","FY 2023","Currency=AUD","Period=FY","BEST_FPERIOD_OVERRIDE=FY","FILING_STATUS=MR","SCALING_FORMAT=MLN","Sort=A","Dates=H","DateFormat=P","Fill=—","Direction=H","UseDPDF=Y")</f>
        <v>#NAME?</v>
      </c>
      <c r="H57" s="9" t="e">
        <f ca="1">_xll.BDH("JBH AU Equity","OTHER_NONCUR_LIABS_SUB_DETAILED","FY 2024","FY 2024","Currency=AUD","Period=FY","BEST_FPERIOD_OVERRIDE=FY","FILING_STATUS=MR","SCALING_FORMAT=MLN","Sort=A","Dates=H","DateFormat=P","Fill=—","Direction=H","UseDPDF=Y")</f>
        <v>#NAME?</v>
      </c>
    </row>
    <row r="58" spans="1:8">
      <c r="A58" s="8" t="s">
        <v>488</v>
      </c>
      <c r="B58" s="8" t="s">
        <v>489</v>
      </c>
      <c r="C58" s="9" t="e">
        <f ca="1">_xll.BDH("JBH AU Equity","BS_ACCRUED_LIABILITIES","FY 2019","FY 2019","Currency=AUD","Period=FY","BEST_FPERIOD_OVERRIDE=FY","FILING_STATUS=MR","SCALING_FORMAT=MLN","Sort=A","Dates=H","DateFormat=P","Fill=—","Direction=H","UseDPDF=Y")</f>
        <v>#NAME?</v>
      </c>
      <c r="D58" s="9" t="e">
        <f ca="1">_xll.BDH("JBH AU Equity","BS_ACCRUED_LIABILITIES","FY 2020","FY 2020","Currency=AUD","Period=FY","BEST_FPERIOD_OVERRIDE=FY","FILING_STATUS=MR","SCALING_FORMAT=MLN","Sort=A","Dates=H","DateFormat=P","Fill=—","Direction=H","UseDPDF=Y")</f>
        <v>#NAME?</v>
      </c>
      <c r="E58" s="9" t="e">
        <f ca="1">_xll.BDH("JBH AU Equity","BS_ACCRUED_LIABILITIES","FY 2021","FY 2021","Currency=AUD","Period=FY","BEST_FPERIOD_OVERRIDE=FY","FILING_STATUS=MR","SCALING_FORMAT=MLN","Sort=A","Dates=H","DateFormat=P","Fill=—","Direction=H","UseDPDF=Y")</f>
        <v>#NAME?</v>
      </c>
      <c r="F58" s="9" t="e">
        <f ca="1">_xll.BDH("JBH AU Equity","BS_ACCRUED_LIABILITIES","FY 2022","FY 2022","Currency=AUD","Period=FY","BEST_FPERIOD_OVERRIDE=FY","FILING_STATUS=MR","SCALING_FORMAT=MLN","Sort=A","Dates=H","DateFormat=P","Fill=—","Direction=H","UseDPDF=Y")</f>
        <v>#NAME?</v>
      </c>
      <c r="G58" s="9" t="e">
        <f ca="1">_xll.BDH("JBH AU Equity","BS_ACCRUED_LIABILITIES","FY 2023","FY 2023","Currency=AUD","Period=FY","BEST_FPERIOD_OVERRIDE=FY","FILING_STATUS=MR","SCALING_FORMAT=MLN","Sort=A","Dates=H","DateFormat=P","Fill=—","Direction=H","UseDPDF=Y")</f>
        <v>#NAME?</v>
      </c>
      <c r="H58" s="9" t="e">
        <f ca="1">_xll.BDH("JBH AU Equity","BS_ACCRUED_LIABILITIES","FY 2024","FY 2024","Currency=AUD","Period=FY","BEST_FPERIOD_OVERRIDE=FY","FILING_STATUS=MR","SCALING_FORMAT=MLN","Sort=A","Dates=H","DateFormat=P","Fill=—","Direction=H","UseDPDF=Y")</f>
        <v>#NAME?</v>
      </c>
    </row>
    <row r="59" spans="1:8">
      <c r="A59" s="8" t="s">
        <v>490</v>
      </c>
      <c r="B59" s="8" t="s">
        <v>491</v>
      </c>
      <c r="C59" s="9" t="e">
        <f ca="1">_xll.BDH("JBH AU Equity","PENSION_LIABILITIES","FY 2019","FY 2019","Currency=AUD","Period=FY","BEST_FPERIOD_OVERRIDE=FY","FILING_STATUS=MR","SCALING_FORMAT=MLN","Sort=A","Dates=H","DateFormat=P","Fill=—","Direction=H","UseDPDF=Y")</f>
        <v>#NAME?</v>
      </c>
      <c r="D59" s="9" t="e">
        <f ca="1">_xll.BDH("JBH AU Equity","PENSION_LIABILITIES","FY 2020","FY 2020","Currency=AUD","Period=FY","BEST_FPERIOD_OVERRIDE=FY","FILING_STATUS=MR","SCALING_FORMAT=MLN","Sort=A","Dates=H","DateFormat=P","Fill=—","Direction=H","UseDPDF=Y")</f>
        <v>#NAME?</v>
      </c>
      <c r="E59" s="9" t="e">
        <f ca="1">_xll.BDH("JBH AU Equity","PENSION_LIABILITIES","FY 2021","FY 2021","Currency=AUD","Period=FY","BEST_FPERIOD_OVERRIDE=FY","FILING_STATUS=MR","SCALING_FORMAT=MLN","Sort=A","Dates=H","DateFormat=P","Fill=—","Direction=H","UseDPDF=Y")</f>
        <v>#NAME?</v>
      </c>
      <c r="F59" s="9" t="e">
        <f ca="1">_xll.BDH("JBH AU Equity","PENSION_LIABILITIES","FY 2022","FY 2022","Currency=AUD","Period=FY","BEST_FPERIOD_OVERRIDE=FY","FILING_STATUS=MR","SCALING_FORMAT=MLN","Sort=A","Dates=H","DateFormat=P","Fill=—","Direction=H","UseDPDF=Y")</f>
        <v>#NAME?</v>
      </c>
      <c r="G59" s="9" t="e">
        <f ca="1">_xll.BDH("JBH AU Equity","PENSION_LIABILITIES","FY 2023","FY 2023","Currency=AUD","Period=FY","BEST_FPERIOD_OVERRIDE=FY","FILING_STATUS=MR","SCALING_FORMAT=MLN","Sort=A","Dates=H","DateFormat=P","Fill=—","Direction=H","UseDPDF=Y")</f>
        <v>#NAME?</v>
      </c>
      <c r="H59" s="9" t="e">
        <f ca="1">_xll.BDH("JBH AU Equity","PENSION_LIABILITIES","FY 2024","FY 2024","Currency=AUD","Period=FY","BEST_FPERIOD_OVERRIDE=FY","FILING_STATUS=MR","SCALING_FORMAT=MLN","Sort=A","Dates=H","DateFormat=P","Fill=—","Direction=H","UseDPDF=Y")</f>
        <v>#NAME?</v>
      </c>
    </row>
    <row r="60" spans="1:8">
      <c r="A60" s="15" t="s">
        <v>492</v>
      </c>
      <c r="B60" s="15" t="s">
        <v>493</v>
      </c>
      <c r="C60" s="16" t="e">
        <f ca="1">_xll.BDH("JBH AU Equity","BS_PENSIONS_LT_LIABS","FY 2019","FY 2019","Currency=AUD","Period=FY","BEST_FPERIOD_OVERRIDE=FY","FILING_STATUS=MR","SCALING_FORMAT=MLN","Sort=A","Dates=H","DateFormat=P","Fill=—","Direction=H","UseDPDF=Y")</f>
        <v>#NAME?</v>
      </c>
      <c r="D60" s="16" t="e">
        <f ca="1">_xll.BDH("JBH AU Equity","BS_PENSIONS_LT_LIABS","FY 2020","FY 2020","Currency=AUD","Period=FY","BEST_FPERIOD_OVERRIDE=FY","FILING_STATUS=MR","SCALING_FORMAT=MLN","Sort=A","Dates=H","DateFormat=P","Fill=—","Direction=H","UseDPDF=Y")</f>
        <v>#NAME?</v>
      </c>
      <c r="E60" s="16" t="e">
        <f ca="1">_xll.BDH("JBH AU Equity","BS_PENSIONS_LT_LIABS","FY 2021","FY 2021","Currency=AUD","Period=FY","BEST_FPERIOD_OVERRIDE=FY","FILING_STATUS=MR","SCALING_FORMAT=MLN","Sort=A","Dates=H","DateFormat=P","Fill=—","Direction=H","UseDPDF=Y")</f>
        <v>#NAME?</v>
      </c>
      <c r="F60" s="16" t="e">
        <f ca="1">_xll.BDH("JBH AU Equity","BS_PENSIONS_LT_LIABS","FY 2022","FY 2022","Currency=AUD","Period=FY","BEST_FPERIOD_OVERRIDE=FY","FILING_STATUS=MR","SCALING_FORMAT=MLN","Sort=A","Dates=H","DateFormat=P","Fill=—","Direction=H","UseDPDF=Y")</f>
        <v>#NAME?</v>
      </c>
      <c r="G60" s="16" t="e">
        <f ca="1">_xll.BDH("JBH AU Equity","BS_PENSIONS_LT_LIABS","FY 2023","FY 2023","Currency=AUD","Period=FY","BEST_FPERIOD_OVERRIDE=FY","FILING_STATUS=MR","SCALING_FORMAT=MLN","Sort=A","Dates=H","DateFormat=P","Fill=—","Direction=H","UseDPDF=Y")</f>
        <v>#NAME?</v>
      </c>
      <c r="H60" s="16" t="e">
        <f ca="1">_xll.BDH("JBH AU Equity","BS_PENSIONS_LT_LIABS","FY 2024","FY 2024","Currency=AUD","Period=FY","BEST_FPERIOD_OVERRIDE=FY","FILING_STATUS=MR","SCALING_FORMAT=MLN","Sort=A","Dates=H","DateFormat=P","Fill=—","Direction=H","UseDPDF=Y")</f>
        <v>#NAME?</v>
      </c>
    </row>
    <row r="61" spans="1:8">
      <c r="A61" s="15" t="s">
        <v>494</v>
      </c>
      <c r="B61" s="15" t="s">
        <v>495</v>
      </c>
      <c r="C61" s="16" t="e">
        <f ca="1">_xll.BDH("JBH AU Equity","BS_OPRB_LT_LIABS","FY 2019","FY 2019","Currency=AUD","Period=FY","BEST_FPERIOD_OVERRIDE=FY","FILING_STATUS=MR","SCALING_FORMAT=MLN","Sort=A","Dates=H","DateFormat=P","Fill=—","Direction=H","UseDPDF=Y")</f>
        <v>#NAME?</v>
      </c>
      <c r="D61" s="16" t="e">
        <f ca="1">_xll.BDH("JBH AU Equity","BS_OPRB_LT_LIABS","FY 2020","FY 2020","Currency=AUD","Period=FY","BEST_FPERIOD_OVERRIDE=FY","FILING_STATUS=MR","SCALING_FORMAT=MLN","Sort=A","Dates=H","DateFormat=P","Fill=—","Direction=H","UseDPDF=Y")</f>
        <v>#NAME?</v>
      </c>
      <c r="E61" s="16" t="e">
        <f ca="1">_xll.BDH("JBH AU Equity","BS_OPRB_LT_LIABS","FY 2021","FY 2021","Currency=AUD","Period=FY","BEST_FPERIOD_OVERRIDE=FY","FILING_STATUS=MR","SCALING_FORMAT=MLN","Sort=A","Dates=H","DateFormat=P","Fill=—","Direction=H","UseDPDF=Y")</f>
        <v>#NAME?</v>
      </c>
      <c r="F61" s="16" t="e">
        <f ca="1">_xll.BDH("JBH AU Equity","BS_OPRB_LT_LIABS","FY 2022","FY 2022","Currency=AUD","Period=FY","BEST_FPERIOD_OVERRIDE=FY","FILING_STATUS=MR","SCALING_FORMAT=MLN","Sort=A","Dates=H","DateFormat=P","Fill=—","Direction=H","UseDPDF=Y")</f>
        <v>#NAME?</v>
      </c>
      <c r="G61" s="16" t="e">
        <f ca="1">_xll.BDH("JBH AU Equity","BS_OPRB_LT_LIABS","FY 2023","FY 2023","Currency=AUD","Period=FY","BEST_FPERIOD_OVERRIDE=FY","FILING_STATUS=MR","SCALING_FORMAT=MLN","Sort=A","Dates=H","DateFormat=P","Fill=—","Direction=H","UseDPDF=Y")</f>
        <v>#NAME?</v>
      </c>
      <c r="H61" s="16" t="e">
        <f ca="1">_xll.BDH("JBH AU Equity","BS_OPRB_LT_LIABS","FY 2024","FY 2024","Currency=AUD","Period=FY","BEST_FPERIOD_OVERRIDE=FY","FILING_STATUS=MR","SCALING_FORMAT=MLN","Sort=A","Dates=H","DateFormat=P","Fill=—","Direction=H","UseDPDF=Y")</f>
        <v>#NAME?</v>
      </c>
    </row>
    <row r="62" spans="1:8">
      <c r="A62" s="8" t="s">
        <v>496</v>
      </c>
      <c r="B62" s="8" t="s">
        <v>497</v>
      </c>
      <c r="C62" s="9" t="e">
        <f ca="1">_xll.BDH("JBH AU Equity","BS_DEFERRED_COMP_LT_LIABS","FY 2019","FY 2019","Currency=AUD","Period=FY","BEST_FPERIOD_OVERRIDE=FY","FILING_STATUS=MR","SCALING_FORMAT=MLN","Sort=A","Dates=H","DateFormat=P","Fill=—","Direction=H","UseDPDF=Y")</f>
        <v>#NAME?</v>
      </c>
      <c r="D62" s="9" t="e">
        <f ca="1">_xll.BDH("JBH AU Equity","BS_DEFERRED_COMP_LT_LIABS","FY 2020","FY 2020","Currency=AUD","Period=FY","BEST_FPERIOD_OVERRIDE=FY","FILING_STATUS=MR","SCALING_FORMAT=MLN","Sort=A","Dates=H","DateFormat=P","Fill=—","Direction=H","UseDPDF=Y")</f>
        <v>#NAME?</v>
      </c>
      <c r="E62" s="9" t="e">
        <f ca="1">_xll.BDH("JBH AU Equity","BS_DEFERRED_COMP_LT_LIABS","FY 2021","FY 2021","Currency=AUD","Period=FY","BEST_FPERIOD_OVERRIDE=FY","FILING_STATUS=MR","SCALING_FORMAT=MLN","Sort=A","Dates=H","DateFormat=P","Fill=—","Direction=H","UseDPDF=Y")</f>
        <v>#NAME?</v>
      </c>
      <c r="F62" s="9" t="e">
        <f ca="1">_xll.BDH("JBH AU Equity","BS_DEFERRED_COMP_LT_LIABS","FY 2022","FY 2022","Currency=AUD","Period=FY","BEST_FPERIOD_OVERRIDE=FY","FILING_STATUS=MR","SCALING_FORMAT=MLN","Sort=A","Dates=H","DateFormat=P","Fill=—","Direction=H","UseDPDF=Y")</f>
        <v>#NAME?</v>
      </c>
      <c r="G62" s="9" t="e">
        <f ca="1">_xll.BDH("JBH AU Equity","BS_DEFERRED_COMP_LT_LIABS","FY 2023","FY 2023","Currency=AUD","Period=FY","BEST_FPERIOD_OVERRIDE=FY","FILING_STATUS=MR","SCALING_FORMAT=MLN","Sort=A","Dates=H","DateFormat=P","Fill=—","Direction=H","UseDPDF=Y")</f>
        <v>#NAME?</v>
      </c>
      <c r="H62" s="9" t="e">
        <f ca="1">_xll.BDH("JBH AU Equity","BS_DEFERRED_COMP_LT_LIABS","FY 2024","FY 2024","Currency=AUD","Period=FY","BEST_FPERIOD_OVERRIDE=FY","FILING_STATUS=MR","SCALING_FORMAT=MLN","Sort=A","Dates=H","DateFormat=P","Fill=—","Direction=H","UseDPDF=Y")</f>
        <v>#NAME?</v>
      </c>
    </row>
    <row r="63" spans="1:8">
      <c r="A63" s="8" t="s">
        <v>470</v>
      </c>
      <c r="B63" s="8" t="s">
        <v>498</v>
      </c>
      <c r="C63" s="9" t="e">
        <f ca="1">_xll.BDH("JBH AU Equity","LT_DEFERRED_REVENUE","FY 2019","FY 2019","Currency=AUD","Period=FY","BEST_FPERIOD_OVERRIDE=FY","FILING_STATUS=MR","SCALING_FORMAT=MLN","Sort=A","Dates=H","DateFormat=P","Fill=—","Direction=H","UseDPDF=Y")</f>
        <v>#NAME?</v>
      </c>
      <c r="D63" s="9" t="e">
        <f ca="1">_xll.BDH("JBH AU Equity","LT_DEFERRED_REVENUE","FY 2020","FY 2020","Currency=AUD","Period=FY","BEST_FPERIOD_OVERRIDE=FY","FILING_STATUS=MR","SCALING_FORMAT=MLN","Sort=A","Dates=H","DateFormat=P","Fill=—","Direction=H","UseDPDF=Y")</f>
        <v>#NAME?</v>
      </c>
      <c r="E63" s="9" t="e">
        <f ca="1">_xll.BDH("JBH AU Equity","LT_DEFERRED_REVENUE","FY 2021","FY 2021","Currency=AUD","Period=FY","BEST_FPERIOD_OVERRIDE=FY","FILING_STATUS=MR","SCALING_FORMAT=MLN","Sort=A","Dates=H","DateFormat=P","Fill=—","Direction=H","UseDPDF=Y")</f>
        <v>#NAME?</v>
      </c>
      <c r="F63" s="9" t="e">
        <f ca="1">_xll.BDH("JBH AU Equity","LT_DEFERRED_REVENUE","FY 2022","FY 2022","Currency=AUD","Period=FY","BEST_FPERIOD_OVERRIDE=FY","FILING_STATUS=MR","SCALING_FORMAT=MLN","Sort=A","Dates=H","DateFormat=P","Fill=—","Direction=H","UseDPDF=Y")</f>
        <v>#NAME?</v>
      </c>
      <c r="G63" s="9" t="e">
        <f ca="1">_xll.BDH("JBH AU Equity","LT_DEFERRED_REVENUE","FY 2023","FY 2023","Currency=AUD","Period=FY","BEST_FPERIOD_OVERRIDE=FY","FILING_STATUS=MR","SCALING_FORMAT=MLN","Sort=A","Dates=H","DateFormat=P","Fill=—","Direction=H","UseDPDF=Y")</f>
        <v>#NAME?</v>
      </c>
      <c r="H63" s="9" t="e">
        <f ca="1">_xll.BDH("JBH AU Equity","LT_DEFERRED_REVENUE","FY 2024","FY 2024","Currency=AUD","Period=FY","BEST_FPERIOD_OVERRIDE=FY","FILING_STATUS=MR","SCALING_FORMAT=MLN","Sort=A","Dates=H","DateFormat=P","Fill=—","Direction=H","UseDPDF=Y")</f>
        <v>#NAME?</v>
      </c>
    </row>
    <row r="64" spans="1:8">
      <c r="A64" s="8" t="s">
        <v>499</v>
      </c>
      <c r="B64" s="8" t="s">
        <v>500</v>
      </c>
      <c r="C64" s="9" t="e">
        <f ca="1">_xll.BDH("JBH AU Equity","BS_DEFERRED_TAX_LIABILITIES_LT","FY 2019","FY 2019","Currency=AUD","Period=FY","BEST_FPERIOD_OVERRIDE=FY","FILING_STATUS=MR","SCALING_FORMAT=MLN","Sort=A","Dates=H","DateFormat=P","Fill=—","Direction=H","UseDPDF=Y")</f>
        <v>#NAME?</v>
      </c>
      <c r="D64" s="9" t="e">
        <f ca="1">_xll.BDH("JBH AU Equity","BS_DEFERRED_TAX_LIABILITIES_LT","FY 2020","FY 2020","Currency=AUD","Period=FY","BEST_FPERIOD_OVERRIDE=FY","FILING_STATUS=MR","SCALING_FORMAT=MLN","Sort=A","Dates=H","DateFormat=P","Fill=—","Direction=H","UseDPDF=Y")</f>
        <v>#NAME?</v>
      </c>
      <c r="E64" s="9" t="e">
        <f ca="1">_xll.BDH("JBH AU Equity","BS_DEFERRED_TAX_LIABILITIES_LT","FY 2021","FY 2021","Currency=AUD","Period=FY","BEST_FPERIOD_OVERRIDE=FY","FILING_STATUS=MR","SCALING_FORMAT=MLN","Sort=A","Dates=H","DateFormat=P","Fill=—","Direction=H","UseDPDF=Y")</f>
        <v>#NAME?</v>
      </c>
      <c r="F64" s="9" t="e">
        <f ca="1">_xll.BDH("JBH AU Equity","BS_DEFERRED_TAX_LIABILITIES_LT","FY 2022","FY 2022","Currency=AUD","Period=FY","BEST_FPERIOD_OVERRIDE=FY","FILING_STATUS=MR","SCALING_FORMAT=MLN","Sort=A","Dates=H","DateFormat=P","Fill=—","Direction=H","UseDPDF=Y")</f>
        <v>#NAME?</v>
      </c>
      <c r="G64" s="9" t="e">
        <f ca="1">_xll.BDH("JBH AU Equity","BS_DEFERRED_TAX_LIABILITIES_LT","FY 2023","FY 2023","Currency=AUD","Period=FY","BEST_FPERIOD_OVERRIDE=FY","FILING_STATUS=MR","SCALING_FORMAT=MLN","Sort=A","Dates=H","DateFormat=P","Fill=—","Direction=H","UseDPDF=Y")</f>
        <v>#NAME?</v>
      </c>
      <c r="H64" s="9" t="e">
        <f ca="1">_xll.BDH("JBH AU Equity","BS_DEFERRED_TAX_LIABILITIES_LT","FY 2024","FY 2024","Currency=AUD","Period=FY","BEST_FPERIOD_OVERRIDE=FY","FILING_STATUS=MR","SCALING_FORMAT=MLN","Sort=A","Dates=H","DateFormat=P","Fill=—","Direction=H","UseDPDF=Y")</f>
        <v>#NAME?</v>
      </c>
    </row>
    <row r="65" spans="1:8">
      <c r="A65" s="8" t="s">
        <v>472</v>
      </c>
      <c r="B65" s="8" t="s">
        <v>501</v>
      </c>
      <c r="C65" s="9" t="e">
        <f ca="1">_xll.BDH("JBH AU Equity","BS_DERIV_HEDGING_LIAB_LT","FY 2019","FY 2019","Currency=AUD","Period=FY","BEST_FPERIOD_OVERRIDE=FY","FILING_STATUS=MR","SCALING_FORMAT=MLN","Sort=A","Dates=H","DateFormat=P","Fill=—","Direction=H","UseDPDF=Y")</f>
        <v>#NAME?</v>
      </c>
      <c r="D65" s="9" t="e">
        <f ca="1">_xll.BDH("JBH AU Equity","BS_DERIV_HEDGING_LIAB_LT","FY 2020","FY 2020","Currency=AUD","Period=FY","BEST_FPERIOD_OVERRIDE=FY","FILING_STATUS=MR","SCALING_FORMAT=MLN","Sort=A","Dates=H","DateFormat=P","Fill=—","Direction=H","UseDPDF=Y")</f>
        <v>#NAME?</v>
      </c>
      <c r="E65" s="9" t="e">
        <f ca="1">_xll.BDH("JBH AU Equity","BS_DERIV_HEDGING_LIAB_LT","FY 2021","FY 2021","Currency=AUD","Period=FY","BEST_FPERIOD_OVERRIDE=FY","FILING_STATUS=MR","SCALING_FORMAT=MLN","Sort=A","Dates=H","DateFormat=P","Fill=—","Direction=H","UseDPDF=Y")</f>
        <v>#NAME?</v>
      </c>
      <c r="F65" s="9" t="e">
        <f ca="1">_xll.BDH("JBH AU Equity","BS_DERIV_HEDGING_LIAB_LT","FY 2022","FY 2022","Currency=AUD","Period=FY","BEST_FPERIOD_OVERRIDE=FY","FILING_STATUS=MR","SCALING_FORMAT=MLN","Sort=A","Dates=H","DateFormat=P","Fill=—","Direction=H","UseDPDF=Y")</f>
        <v>#NAME?</v>
      </c>
      <c r="G65" s="9" t="e">
        <f ca="1">_xll.BDH("JBH AU Equity","BS_DERIV_HEDGING_LIAB_LT","FY 2023","FY 2023","Currency=AUD","Period=FY","BEST_FPERIOD_OVERRIDE=FY","FILING_STATUS=MR","SCALING_FORMAT=MLN","Sort=A","Dates=H","DateFormat=P","Fill=—","Direction=H","UseDPDF=Y")</f>
        <v>#NAME?</v>
      </c>
      <c r="H65" s="9" t="e">
        <f ca="1">_xll.BDH("JBH AU Equity","BS_DERIV_HEDGING_LIAB_LT","FY 2024","FY 2024","Currency=AUD","Period=FY","BEST_FPERIOD_OVERRIDE=FY","FILING_STATUS=MR","SCALING_FORMAT=MLN","Sort=A","Dates=H","DateFormat=P","Fill=—","Direction=H","UseDPDF=Y")</f>
        <v>#NAME?</v>
      </c>
    </row>
    <row r="66" spans="1:8">
      <c r="A66" s="8" t="s">
        <v>502</v>
      </c>
      <c r="B66" s="8" t="s">
        <v>503</v>
      </c>
      <c r="C66" s="9" t="e">
        <f ca="1">_xll.BDH("JBH AU Equity","OTHER_NONCURRENT_LIABS_DETAILED","FY 2019","FY 2019","Currency=AUD","Period=FY","BEST_FPERIOD_OVERRIDE=FY","FILING_STATUS=MR","SCALING_FORMAT=MLN","Sort=A","Dates=H","DateFormat=P","Fill=—","Direction=H","UseDPDF=Y")</f>
        <v>#NAME?</v>
      </c>
      <c r="D66" s="9" t="e">
        <f ca="1">_xll.BDH("JBH AU Equity","OTHER_NONCURRENT_LIABS_DETAILED","FY 2020","FY 2020","Currency=AUD","Period=FY","BEST_FPERIOD_OVERRIDE=FY","FILING_STATUS=MR","SCALING_FORMAT=MLN","Sort=A","Dates=H","DateFormat=P","Fill=—","Direction=H","UseDPDF=Y")</f>
        <v>#NAME?</v>
      </c>
      <c r="E66" s="9" t="e">
        <f ca="1">_xll.BDH("JBH AU Equity","OTHER_NONCURRENT_LIABS_DETAILED","FY 2021","FY 2021","Currency=AUD","Period=FY","BEST_FPERIOD_OVERRIDE=FY","FILING_STATUS=MR","SCALING_FORMAT=MLN","Sort=A","Dates=H","DateFormat=P","Fill=—","Direction=H","UseDPDF=Y")</f>
        <v>#NAME?</v>
      </c>
      <c r="F66" s="9" t="e">
        <f ca="1">_xll.BDH("JBH AU Equity","OTHER_NONCURRENT_LIABS_DETAILED","FY 2022","FY 2022","Currency=AUD","Period=FY","BEST_FPERIOD_OVERRIDE=FY","FILING_STATUS=MR","SCALING_FORMAT=MLN","Sort=A","Dates=H","DateFormat=P","Fill=—","Direction=H","UseDPDF=Y")</f>
        <v>#NAME?</v>
      </c>
      <c r="G66" s="9" t="e">
        <f ca="1">_xll.BDH("JBH AU Equity","OTHER_NONCURRENT_LIABS_DETAILED","FY 2023","FY 2023","Currency=AUD","Period=FY","BEST_FPERIOD_OVERRIDE=FY","FILING_STATUS=MR","SCALING_FORMAT=MLN","Sort=A","Dates=H","DateFormat=P","Fill=—","Direction=H","UseDPDF=Y")</f>
        <v>#NAME?</v>
      </c>
      <c r="H66" s="9" t="e">
        <f ca="1">_xll.BDH("JBH AU Equity","OTHER_NONCURRENT_LIABS_DETAILED","FY 2024","FY 2024","Currency=AUD","Period=FY","BEST_FPERIOD_OVERRIDE=FY","FILING_STATUS=MR","SCALING_FORMAT=MLN","Sort=A","Dates=H","DateFormat=P","Fill=—","Direction=H","UseDPDF=Y")</f>
        <v>#NAME?</v>
      </c>
    </row>
    <row r="67" spans="1:8">
      <c r="A67" s="11" t="s">
        <v>504</v>
      </c>
      <c r="B67" s="11" t="s">
        <v>505</v>
      </c>
      <c r="C67" s="14" t="e">
        <f ca="1">_xll.BDH("JBH AU Equity","NON_CUR_LIAB","FY 2019","FY 2019","Currency=AUD","Period=FY","BEST_FPERIOD_OVERRIDE=FY","FILING_STATUS=MR","SCALING_FORMAT=MLN","Sort=A","Dates=H","DateFormat=P","Fill=—","Direction=H","UseDPDF=Y")</f>
        <v>#NAME?</v>
      </c>
      <c r="D67" s="14" t="e">
        <f ca="1">_xll.BDH("JBH AU Equity","NON_CUR_LIAB","FY 2020","FY 2020","Currency=AUD","Period=FY","BEST_FPERIOD_OVERRIDE=FY","FILING_STATUS=MR","SCALING_FORMAT=MLN","Sort=A","Dates=H","DateFormat=P","Fill=—","Direction=H","UseDPDF=Y")</f>
        <v>#NAME?</v>
      </c>
      <c r="E67" s="14" t="e">
        <f ca="1">_xll.BDH("JBH AU Equity","NON_CUR_LIAB","FY 2021","FY 2021","Currency=AUD","Period=FY","BEST_FPERIOD_OVERRIDE=FY","FILING_STATUS=MR","SCALING_FORMAT=MLN","Sort=A","Dates=H","DateFormat=P","Fill=—","Direction=H","UseDPDF=Y")</f>
        <v>#NAME?</v>
      </c>
      <c r="F67" s="14" t="e">
        <f ca="1">_xll.BDH("JBH AU Equity","NON_CUR_LIAB","FY 2022","FY 2022","Currency=AUD","Period=FY","BEST_FPERIOD_OVERRIDE=FY","FILING_STATUS=MR","SCALING_FORMAT=MLN","Sort=A","Dates=H","DateFormat=P","Fill=—","Direction=H","UseDPDF=Y")</f>
        <v>#NAME?</v>
      </c>
      <c r="G67" s="14" t="e">
        <f ca="1">_xll.BDH("JBH AU Equity","NON_CUR_LIAB","FY 2023","FY 2023","Currency=AUD","Period=FY","BEST_FPERIOD_OVERRIDE=FY","FILING_STATUS=MR","SCALING_FORMAT=MLN","Sort=A","Dates=H","DateFormat=P","Fill=—","Direction=H","UseDPDF=Y")</f>
        <v>#NAME?</v>
      </c>
      <c r="H67" s="14" t="e">
        <f ca="1">_xll.BDH("JBH AU Equity","NON_CUR_LIAB","FY 2024","FY 2024","Currency=AUD","Period=FY","BEST_FPERIOD_OVERRIDE=FY","FILING_STATUS=MR","SCALING_FORMAT=MLN","Sort=A","Dates=H","DateFormat=P","Fill=—","Direction=H","UseDPDF=Y")</f>
        <v>#NAME?</v>
      </c>
    </row>
    <row r="68" spans="1:8">
      <c r="A68" s="11" t="s">
        <v>53</v>
      </c>
      <c r="B68" s="11" t="s">
        <v>54</v>
      </c>
      <c r="C68" s="14" t="e">
        <f ca="1">_xll.BDH("JBH AU Equity","BS_TOT_LIAB2","FY 2019","FY 2019","Currency=AUD","Period=FY","BEST_FPERIOD_OVERRIDE=FY","FILING_STATUS=MR","SCALING_FORMAT=MLN","Sort=A","Dates=H","DateFormat=P","Fill=—","Direction=H","UseDPDF=Y")</f>
        <v>#NAME?</v>
      </c>
      <c r="D68" s="14" t="e">
        <f ca="1">_xll.BDH("JBH AU Equity","BS_TOT_LIAB2","FY 2020","FY 2020","Currency=AUD","Period=FY","BEST_FPERIOD_OVERRIDE=FY","FILING_STATUS=MR","SCALING_FORMAT=MLN","Sort=A","Dates=H","DateFormat=P","Fill=—","Direction=H","UseDPDF=Y")</f>
        <v>#NAME?</v>
      </c>
      <c r="E68" s="14" t="e">
        <f ca="1">_xll.BDH("JBH AU Equity","BS_TOT_LIAB2","FY 2021","FY 2021","Currency=AUD","Period=FY","BEST_FPERIOD_OVERRIDE=FY","FILING_STATUS=MR","SCALING_FORMAT=MLN","Sort=A","Dates=H","DateFormat=P","Fill=—","Direction=H","UseDPDF=Y")</f>
        <v>#NAME?</v>
      </c>
      <c r="F68" s="14" t="e">
        <f ca="1">_xll.BDH("JBH AU Equity","BS_TOT_LIAB2","FY 2022","FY 2022","Currency=AUD","Period=FY","BEST_FPERIOD_OVERRIDE=FY","FILING_STATUS=MR","SCALING_FORMAT=MLN","Sort=A","Dates=H","DateFormat=P","Fill=—","Direction=H","UseDPDF=Y")</f>
        <v>#NAME?</v>
      </c>
      <c r="G68" s="14" t="e">
        <f ca="1">_xll.BDH("JBH AU Equity","BS_TOT_LIAB2","FY 2023","FY 2023","Currency=AUD","Period=FY","BEST_FPERIOD_OVERRIDE=FY","FILING_STATUS=MR","SCALING_FORMAT=MLN","Sort=A","Dates=H","DateFormat=P","Fill=—","Direction=H","UseDPDF=Y")</f>
        <v>#NAME?</v>
      </c>
      <c r="H68" s="14" t="e">
        <f ca="1">_xll.BDH("JBH AU Equity","BS_TOT_LIAB2","FY 2024","FY 2024","Currency=AUD","Period=FY","BEST_FPERIOD_OVERRIDE=FY","FILING_STATUS=MR","SCALING_FORMAT=MLN","Sort=A","Dates=H","DateFormat=P","Fill=—","Direction=H","UseDPDF=Y")</f>
        <v>#NAME?</v>
      </c>
    </row>
    <row r="69" spans="1:8">
      <c r="A69" s="8" t="s">
        <v>506</v>
      </c>
      <c r="B69" s="8" t="s">
        <v>507</v>
      </c>
      <c r="C69" s="9" t="e">
        <f ca="1">_xll.BDH("JBH AU Equity","PFD_EQTY_HYBRID_CAPITAL","FY 2019","FY 2019","Currency=AUD","Period=FY","BEST_FPERIOD_OVERRIDE=FY","FILING_STATUS=MR","SCALING_FORMAT=MLN","Sort=A","Dates=H","DateFormat=P","Fill=—","Direction=H","UseDPDF=Y")</f>
        <v>#NAME?</v>
      </c>
      <c r="D69" s="9" t="e">
        <f ca="1">_xll.BDH("JBH AU Equity","PFD_EQTY_HYBRID_CAPITAL","FY 2020","FY 2020","Currency=AUD","Period=FY","BEST_FPERIOD_OVERRIDE=FY","FILING_STATUS=MR","SCALING_FORMAT=MLN","Sort=A","Dates=H","DateFormat=P","Fill=—","Direction=H","UseDPDF=Y")</f>
        <v>#NAME?</v>
      </c>
      <c r="E69" s="9" t="e">
        <f ca="1">_xll.BDH("JBH AU Equity","PFD_EQTY_HYBRID_CAPITAL","FY 2021","FY 2021","Currency=AUD","Period=FY","BEST_FPERIOD_OVERRIDE=FY","FILING_STATUS=MR","SCALING_FORMAT=MLN","Sort=A","Dates=H","DateFormat=P","Fill=—","Direction=H","UseDPDF=Y")</f>
        <v>#NAME?</v>
      </c>
      <c r="F69" s="9" t="e">
        <f ca="1">_xll.BDH("JBH AU Equity","PFD_EQTY_HYBRID_CAPITAL","FY 2022","FY 2022","Currency=AUD","Period=FY","BEST_FPERIOD_OVERRIDE=FY","FILING_STATUS=MR","SCALING_FORMAT=MLN","Sort=A","Dates=H","DateFormat=P","Fill=—","Direction=H","UseDPDF=Y")</f>
        <v>#NAME?</v>
      </c>
      <c r="G69" s="9" t="e">
        <f ca="1">_xll.BDH("JBH AU Equity","PFD_EQTY_HYBRID_CAPITAL","FY 2023","FY 2023","Currency=AUD","Period=FY","BEST_FPERIOD_OVERRIDE=FY","FILING_STATUS=MR","SCALING_FORMAT=MLN","Sort=A","Dates=H","DateFormat=P","Fill=—","Direction=H","UseDPDF=Y")</f>
        <v>#NAME?</v>
      </c>
      <c r="H69" s="9" t="e">
        <f ca="1">_xll.BDH("JBH AU Equity","PFD_EQTY_HYBRID_CAPITAL","FY 2024","FY 2024","Currency=AUD","Period=FY","BEST_FPERIOD_OVERRIDE=FY","FILING_STATUS=MR","SCALING_FORMAT=MLN","Sort=A","Dates=H","DateFormat=P","Fill=—","Direction=H","UseDPDF=Y")</f>
        <v>#NAME?</v>
      </c>
    </row>
    <row r="70" spans="1:8">
      <c r="A70" s="8" t="s">
        <v>508</v>
      </c>
      <c r="B70" s="8" t="s">
        <v>509</v>
      </c>
      <c r="C70" s="9" t="e">
        <f ca="1">_xll.BDH("JBH AU Equity","BS_SH_CAP_AND_APIC","FY 2019","FY 2019","Currency=AUD","Period=FY","BEST_FPERIOD_OVERRIDE=FY","FILING_STATUS=MR","SCALING_FORMAT=MLN","Sort=A","Dates=H","DateFormat=P","Fill=—","Direction=H","UseDPDF=Y")</f>
        <v>#NAME?</v>
      </c>
      <c r="D70" s="9" t="e">
        <f ca="1">_xll.BDH("JBH AU Equity","BS_SH_CAP_AND_APIC","FY 2020","FY 2020","Currency=AUD","Period=FY","BEST_FPERIOD_OVERRIDE=FY","FILING_STATUS=MR","SCALING_FORMAT=MLN","Sort=A","Dates=H","DateFormat=P","Fill=—","Direction=H","UseDPDF=Y")</f>
        <v>#NAME?</v>
      </c>
      <c r="E70" s="9" t="e">
        <f ca="1">_xll.BDH("JBH AU Equity","BS_SH_CAP_AND_APIC","FY 2021","FY 2021","Currency=AUD","Period=FY","BEST_FPERIOD_OVERRIDE=FY","FILING_STATUS=MR","SCALING_FORMAT=MLN","Sort=A","Dates=H","DateFormat=P","Fill=—","Direction=H","UseDPDF=Y")</f>
        <v>#NAME?</v>
      </c>
      <c r="F70" s="9" t="e">
        <f ca="1">_xll.BDH("JBH AU Equity","BS_SH_CAP_AND_APIC","FY 2022","FY 2022","Currency=AUD","Period=FY","BEST_FPERIOD_OVERRIDE=FY","FILING_STATUS=MR","SCALING_FORMAT=MLN","Sort=A","Dates=H","DateFormat=P","Fill=—","Direction=H","UseDPDF=Y")</f>
        <v>#NAME?</v>
      </c>
      <c r="G70" s="9" t="e">
        <f ca="1">_xll.BDH("JBH AU Equity","BS_SH_CAP_AND_APIC","FY 2023","FY 2023","Currency=AUD","Period=FY","BEST_FPERIOD_OVERRIDE=FY","FILING_STATUS=MR","SCALING_FORMAT=MLN","Sort=A","Dates=H","DateFormat=P","Fill=—","Direction=H","UseDPDF=Y")</f>
        <v>#NAME?</v>
      </c>
      <c r="H70" s="9" t="e">
        <f ca="1">_xll.BDH("JBH AU Equity","BS_SH_CAP_AND_APIC","FY 2024","FY 2024","Currency=AUD","Period=FY","BEST_FPERIOD_OVERRIDE=FY","FILING_STATUS=MR","SCALING_FORMAT=MLN","Sort=A","Dates=H","DateFormat=P","Fill=—","Direction=H","UseDPDF=Y")</f>
        <v>#NAME?</v>
      </c>
    </row>
    <row r="71" spans="1:8">
      <c r="A71" s="8" t="s">
        <v>510</v>
      </c>
      <c r="B71" s="8" t="s">
        <v>511</v>
      </c>
      <c r="C71" s="9" t="e">
        <f ca="1">_xll.BDH("JBH AU Equity","BS_AMT_OF_TSY_STOCK","FY 2019","FY 2019","Currency=AUD","Period=FY","BEST_FPERIOD_OVERRIDE=FY","FILING_STATUS=MR","SCALING_FORMAT=MLN","Sort=A","Dates=H","DateFormat=P","Fill=—","Direction=H","UseDPDF=Y")</f>
        <v>#NAME?</v>
      </c>
      <c r="D71" s="9" t="e">
        <f ca="1">_xll.BDH("JBH AU Equity","BS_AMT_OF_TSY_STOCK","FY 2020","FY 2020","Currency=AUD","Period=FY","BEST_FPERIOD_OVERRIDE=FY","FILING_STATUS=MR","SCALING_FORMAT=MLN","Sort=A","Dates=H","DateFormat=P","Fill=—","Direction=H","UseDPDF=Y")</f>
        <v>#NAME?</v>
      </c>
      <c r="E71" s="9" t="e">
        <f ca="1">_xll.BDH("JBH AU Equity","BS_AMT_OF_TSY_STOCK","FY 2021","FY 2021","Currency=AUD","Period=FY","BEST_FPERIOD_OVERRIDE=FY","FILING_STATUS=MR","SCALING_FORMAT=MLN","Sort=A","Dates=H","DateFormat=P","Fill=—","Direction=H","UseDPDF=Y")</f>
        <v>#NAME?</v>
      </c>
      <c r="F71" s="9" t="e">
        <f ca="1">_xll.BDH("JBH AU Equity","BS_AMT_OF_TSY_STOCK","FY 2022","FY 2022","Currency=AUD","Period=FY","BEST_FPERIOD_OVERRIDE=FY","FILING_STATUS=MR","SCALING_FORMAT=MLN","Sort=A","Dates=H","DateFormat=P","Fill=—","Direction=H","UseDPDF=Y")</f>
        <v>#NAME?</v>
      </c>
      <c r="G71" s="9" t="e">
        <f ca="1">_xll.BDH("JBH AU Equity","BS_AMT_OF_TSY_STOCK","FY 2023","FY 2023","Currency=AUD","Period=FY","BEST_FPERIOD_OVERRIDE=FY","FILING_STATUS=MR","SCALING_FORMAT=MLN","Sort=A","Dates=H","DateFormat=P","Fill=—","Direction=H","UseDPDF=Y")</f>
        <v>#NAME?</v>
      </c>
      <c r="H71" s="9" t="e">
        <f ca="1">_xll.BDH("JBH AU Equity","BS_AMT_OF_TSY_STOCK","FY 2024","FY 2024","Currency=AUD","Period=FY","BEST_FPERIOD_OVERRIDE=FY","FILING_STATUS=MR","SCALING_FORMAT=MLN","Sort=A","Dates=H","DateFormat=P","Fill=—","Direction=H","UseDPDF=Y")</f>
        <v>#NAME?</v>
      </c>
    </row>
    <row r="72" spans="1:8">
      <c r="A72" s="8" t="s">
        <v>512</v>
      </c>
      <c r="B72" s="8" t="s">
        <v>513</v>
      </c>
      <c r="C72" s="9" t="e">
        <f ca="1">_xll.BDH("JBH AU Equity","BS_PURE_RETAINED_EARNINGS","FY 2019","FY 2019","Currency=AUD","Period=FY","BEST_FPERIOD_OVERRIDE=FY","FILING_STATUS=MR","SCALING_FORMAT=MLN","Sort=A","Dates=H","DateFormat=P","Fill=—","Direction=H","UseDPDF=Y")</f>
        <v>#NAME?</v>
      </c>
      <c r="D72" s="9" t="e">
        <f ca="1">_xll.BDH("JBH AU Equity","BS_PURE_RETAINED_EARNINGS","FY 2020","FY 2020","Currency=AUD","Period=FY","BEST_FPERIOD_OVERRIDE=FY","FILING_STATUS=MR","SCALING_FORMAT=MLN","Sort=A","Dates=H","DateFormat=P","Fill=—","Direction=H","UseDPDF=Y")</f>
        <v>#NAME?</v>
      </c>
      <c r="E72" s="9" t="e">
        <f ca="1">_xll.BDH("JBH AU Equity","BS_PURE_RETAINED_EARNINGS","FY 2021","FY 2021","Currency=AUD","Period=FY","BEST_FPERIOD_OVERRIDE=FY","FILING_STATUS=MR","SCALING_FORMAT=MLN","Sort=A","Dates=H","DateFormat=P","Fill=—","Direction=H","UseDPDF=Y")</f>
        <v>#NAME?</v>
      </c>
      <c r="F72" s="9" t="e">
        <f ca="1">_xll.BDH("JBH AU Equity","BS_PURE_RETAINED_EARNINGS","FY 2022","FY 2022","Currency=AUD","Period=FY","BEST_FPERIOD_OVERRIDE=FY","FILING_STATUS=MR","SCALING_FORMAT=MLN","Sort=A","Dates=H","DateFormat=P","Fill=—","Direction=H","UseDPDF=Y")</f>
        <v>#NAME?</v>
      </c>
      <c r="G72" s="9" t="e">
        <f ca="1">_xll.BDH("JBH AU Equity","BS_PURE_RETAINED_EARNINGS","FY 2023","FY 2023","Currency=AUD","Period=FY","BEST_FPERIOD_OVERRIDE=FY","FILING_STATUS=MR","SCALING_FORMAT=MLN","Sort=A","Dates=H","DateFormat=P","Fill=—","Direction=H","UseDPDF=Y")</f>
        <v>#NAME?</v>
      </c>
      <c r="H72" s="9" t="e">
        <f ca="1">_xll.BDH("JBH AU Equity","BS_PURE_RETAINED_EARNINGS","FY 2024","FY 2024","Currency=AUD","Period=FY","BEST_FPERIOD_OVERRIDE=FY","FILING_STATUS=MR","SCALING_FORMAT=MLN","Sort=A","Dates=H","DateFormat=P","Fill=—","Direction=H","UseDPDF=Y")</f>
        <v>#NAME?</v>
      </c>
    </row>
    <row r="73" spans="1:8">
      <c r="A73" s="8" t="s">
        <v>514</v>
      </c>
      <c r="B73" s="8" t="s">
        <v>515</v>
      </c>
      <c r="C73" s="9" t="e">
        <f ca="1">_xll.BDH("JBH AU Equity","OTHER_EQUITY_RATIO","FY 2019","FY 2019","Currency=AUD","Period=FY","BEST_FPERIOD_OVERRIDE=FY","FILING_STATUS=MR","SCALING_FORMAT=MLN","Sort=A","Dates=H","DateFormat=P","Fill=—","Direction=H","UseDPDF=Y")</f>
        <v>#NAME?</v>
      </c>
      <c r="D73" s="9" t="e">
        <f ca="1">_xll.BDH("JBH AU Equity","OTHER_EQUITY_RATIO","FY 2020","FY 2020","Currency=AUD","Period=FY","BEST_FPERIOD_OVERRIDE=FY","FILING_STATUS=MR","SCALING_FORMAT=MLN","Sort=A","Dates=H","DateFormat=P","Fill=—","Direction=H","UseDPDF=Y")</f>
        <v>#NAME?</v>
      </c>
      <c r="E73" s="9" t="e">
        <f ca="1">_xll.BDH("JBH AU Equity","OTHER_EQUITY_RATIO","FY 2021","FY 2021","Currency=AUD","Period=FY","BEST_FPERIOD_OVERRIDE=FY","FILING_STATUS=MR","SCALING_FORMAT=MLN","Sort=A","Dates=H","DateFormat=P","Fill=—","Direction=H","UseDPDF=Y")</f>
        <v>#NAME?</v>
      </c>
      <c r="F73" s="9" t="e">
        <f ca="1">_xll.BDH("JBH AU Equity","OTHER_EQUITY_RATIO","FY 2022","FY 2022","Currency=AUD","Period=FY","BEST_FPERIOD_OVERRIDE=FY","FILING_STATUS=MR","SCALING_FORMAT=MLN","Sort=A","Dates=H","DateFormat=P","Fill=—","Direction=H","UseDPDF=Y")</f>
        <v>#NAME?</v>
      </c>
      <c r="G73" s="9" t="e">
        <f ca="1">_xll.BDH("JBH AU Equity","OTHER_EQUITY_RATIO","FY 2023","FY 2023","Currency=AUD","Period=FY","BEST_FPERIOD_OVERRIDE=FY","FILING_STATUS=MR","SCALING_FORMAT=MLN","Sort=A","Dates=H","DateFormat=P","Fill=—","Direction=H","UseDPDF=Y")</f>
        <v>#NAME?</v>
      </c>
      <c r="H73" s="9" t="e">
        <f ca="1">_xll.BDH("JBH AU Equity","OTHER_EQUITY_RATIO","FY 2024","FY 2024","Currency=AUD","Period=FY","BEST_FPERIOD_OVERRIDE=FY","FILING_STATUS=MR","SCALING_FORMAT=MLN","Sort=A","Dates=H","DateFormat=P","Fill=—","Direction=H","UseDPDF=Y")</f>
        <v>#NAME?</v>
      </c>
    </row>
    <row r="74" spans="1:8">
      <c r="A74" s="11" t="s">
        <v>516</v>
      </c>
      <c r="B74" s="11" t="s">
        <v>517</v>
      </c>
      <c r="C74" s="14" t="e">
        <f ca="1">_xll.BDH("JBH AU Equity","EQTY_BEF_MINORITY_INT_DETAILED","FY 2019","FY 2019","Currency=AUD","Period=FY","BEST_FPERIOD_OVERRIDE=FY","FILING_STATUS=MR","SCALING_FORMAT=MLN","Sort=A","Dates=H","DateFormat=P","Fill=—","Direction=H","UseDPDF=Y")</f>
        <v>#NAME?</v>
      </c>
      <c r="D74" s="14" t="e">
        <f ca="1">_xll.BDH("JBH AU Equity","EQTY_BEF_MINORITY_INT_DETAILED","FY 2020","FY 2020","Currency=AUD","Period=FY","BEST_FPERIOD_OVERRIDE=FY","FILING_STATUS=MR","SCALING_FORMAT=MLN","Sort=A","Dates=H","DateFormat=P","Fill=—","Direction=H","UseDPDF=Y")</f>
        <v>#NAME?</v>
      </c>
      <c r="E74" s="14" t="e">
        <f ca="1">_xll.BDH("JBH AU Equity","EQTY_BEF_MINORITY_INT_DETAILED","FY 2021","FY 2021","Currency=AUD","Period=FY","BEST_FPERIOD_OVERRIDE=FY","FILING_STATUS=MR","SCALING_FORMAT=MLN","Sort=A","Dates=H","DateFormat=P","Fill=—","Direction=H","UseDPDF=Y")</f>
        <v>#NAME?</v>
      </c>
      <c r="F74" s="14" t="e">
        <f ca="1">_xll.BDH("JBH AU Equity","EQTY_BEF_MINORITY_INT_DETAILED","FY 2022","FY 2022","Currency=AUD","Period=FY","BEST_FPERIOD_OVERRIDE=FY","FILING_STATUS=MR","SCALING_FORMAT=MLN","Sort=A","Dates=H","DateFormat=P","Fill=—","Direction=H","UseDPDF=Y")</f>
        <v>#NAME?</v>
      </c>
      <c r="G74" s="14" t="e">
        <f ca="1">_xll.BDH("JBH AU Equity","EQTY_BEF_MINORITY_INT_DETAILED","FY 2023","FY 2023","Currency=AUD","Period=FY","BEST_FPERIOD_OVERRIDE=FY","FILING_STATUS=MR","SCALING_FORMAT=MLN","Sort=A","Dates=H","DateFormat=P","Fill=—","Direction=H","UseDPDF=Y")</f>
        <v>#NAME?</v>
      </c>
      <c r="H74" s="14" t="e">
        <f ca="1">_xll.BDH("JBH AU Equity","EQTY_BEF_MINORITY_INT_DETAILED","FY 2024","FY 2024","Currency=AUD","Period=FY","BEST_FPERIOD_OVERRIDE=FY","FILING_STATUS=MR","SCALING_FORMAT=MLN","Sort=A","Dates=H","DateFormat=P","Fill=—","Direction=H","UseDPDF=Y")</f>
        <v>#NAME?</v>
      </c>
    </row>
    <row r="75" spans="1:8">
      <c r="A75" s="8" t="s">
        <v>518</v>
      </c>
      <c r="B75" s="8" t="s">
        <v>519</v>
      </c>
      <c r="C75" s="9" t="e">
        <f ca="1">_xll.BDH("JBH AU Equity","MINORITY_NONCONTROLLING_INTEREST","FY 2019","FY 2019","Currency=AUD","Period=FY","BEST_FPERIOD_OVERRIDE=FY","FILING_STATUS=MR","SCALING_FORMAT=MLN","Sort=A","Dates=H","DateFormat=P","Fill=—","Direction=H","UseDPDF=Y")</f>
        <v>#NAME?</v>
      </c>
      <c r="D75" s="9" t="e">
        <f ca="1">_xll.BDH("JBH AU Equity","MINORITY_NONCONTROLLING_INTEREST","FY 2020","FY 2020","Currency=AUD","Period=FY","BEST_FPERIOD_OVERRIDE=FY","FILING_STATUS=MR","SCALING_FORMAT=MLN","Sort=A","Dates=H","DateFormat=P","Fill=—","Direction=H","UseDPDF=Y")</f>
        <v>#NAME?</v>
      </c>
      <c r="E75" s="9" t="e">
        <f ca="1">_xll.BDH("JBH AU Equity","MINORITY_NONCONTROLLING_INTEREST","FY 2021","FY 2021","Currency=AUD","Period=FY","BEST_FPERIOD_OVERRIDE=FY","FILING_STATUS=MR","SCALING_FORMAT=MLN","Sort=A","Dates=H","DateFormat=P","Fill=—","Direction=H","UseDPDF=Y")</f>
        <v>#NAME?</v>
      </c>
      <c r="F75" s="9" t="e">
        <f ca="1">_xll.BDH("JBH AU Equity","MINORITY_NONCONTROLLING_INTEREST","FY 2022","FY 2022","Currency=AUD","Period=FY","BEST_FPERIOD_OVERRIDE=FY","FILING_STATUS=MR","SCALING_FORMAT=MLN","Sort=A","Dates=H","DateFormat=P","Fill=—","Direction=H","UseDPDF=Y")</f>
        <v>#NAME?</v>
      </c>
      <c r="G75" s="9" t="e">
        <f ca="1">_xll.BDH("JBH AU Equity","MINORITY_NONCONTROLLING_INTEREST","FY 2023","FY 2023","Currency=AUD","Period=FY","BEST_FPERIOD_OVERRIDE=FY","FILING_STATUS=MR","SCALING_FORMAT=MLN","Sort=A","Dates=H","DateFormat=P","Fill=—","Direction=H","UseDPDF=Y")</f>
        <v>#NAME?</v>
      </c>
      <c r="H75" s="9" t="e">
        <f ca="1">_xll.BDH("JBH AU Equity","MINORITY_NONCONTROLLING_INTEREST","FY 2024","FY 2024","Currency=AUD","Period=FY","BEST_FPERIOD_OVERRIDE=FY","FILING_STATUS=MR","SCALING_FORMAT=MLN","Sort=A","Dates=H","DateFormat=P","Fill=—","Direction=H","UseDPDF=Y")</f>
        <v>#NAME?</v>
      </c>
    </row>
    <row r="76" spans="1:8">
      <c r="A76" s="11" t="s">
        <v>55</v>
      </c>
      <c r="B76" s="11" t="s">
        <v>56</v>
      </c>
      <c r="C76" s="14" t="e">
        <f ca="1">_xll.BDH("JBH AU Equity","TOTAL_EQUITY","FY 2019","FY 2019","Currency=AUD","Period=FY","BEST_FPERIOD_OVERRIDE=FY","FILING_STATUS=MR","SCALING_FORMAT=MLN","Sort=A","Dates=H","DateFormat=P","Fill=—","Direction=H","UseDPDF=Y")</f>
        <v>#NAME?</v>
      </c>
      <c r="D76" s="14" t="e">
        <f ca="1">_xll.BDH("JBH AU Equity","TOTAL_EQUITY","FY 2020","FY 2020","Currency=AUD","Period=FY","BEST_FPERIOD_OVERRIDE=FY","FILING_STATUS=MR","SCALING_FORMAT=MLN","Sort=A","Dates=H","DateFormat=P","Fill=—","Direction=H","UseDPDF=Y")</f>
        <v>#NAME?</v>
      </c>
      <c r="E76" s="14" t="e">
        <f ca="1">_xll.BDH("JBH AU Equity","TOTAL_EQUITY","FY 2021","FY 2021","Currency=AUD","Period=FY","BEST_FPERIOD_OVERRIDE=FY","FILING_STATUS=MR","SCALING_FORMAT=MLN","Sort=A","Dates=H","DateFormat=P","Fill=—","Direction=H","UseDPDF=Y")</f>
        <v>#NAME?</v>
      </c>
      <c r="F76" s="14" t="e">
        <f ca="1">_xll.BDH("JBH AU Equity","TOTAL_EQUITY","FY 2022","FY 2022","Currency=AUD","Period=FY","BEST_FPERIOD_OVERRIDE=FY","FILING_STATUS=MR","SCALING_FORMAT=MLN","Sort=A","Dates=H","DateFormat=P","Fill=—","Direction=H","UseDPDF=Y")</f>
        <v>#NAME?</v>
      </c>
      <c r="G76" s="14" t="e">
        <f ca="1">_xll.BDH("JBH AU Equity","TOTAL_EQUITY","FY 2023","FY 2023","Currency=AUD","Period=FY","BEST_FPERIOD_OVERRIDE=FY","FILING_STATUS=MR","SCALING_FORMAT=MLN","Sort=A","Dates=H","DateFormat=P","Fill=—","Direction=H","UseDPDF=Y")</f>
        <v>#NAME?</v>
      </c>
      <c r="H76" s="14" t="e">
        <f ca="1">_xll.BDH("JBH AU Equity","TOTAL_EQUITY","FY 2024","FY 2024","Currency=AUD","Period=FY","BEST_FPERIOD_OVERRIDE=FY","FILING_STATUS=MR","SCALING_FORMAT=MLN","Sort=A","Dates=H","DateFormat=P","Fill=—","Direction=H","UseDPDF=Y")</f>
        <v>#NAME?</v>
      </c>
    </row>
    <row r="77" spans="1:8">
      <c r="A77" s="11" t="s">
        <v>520</v>
      </c>
      <c r="B77" s="11" t="s">
        <v>521</v>
      </c>
      <c r="C77" s="14" t="e">
        <f ca="1">_xll.BDH("JBH AU Equity","TOT_LIAB_AND_EQY","FY 2019","FY 2019","Currency=AUD","Period=FY","BEST_FPERIOD_OVERRIDE=FY","FILING_STATUS=MR","SCALING_FORMAT=MLN","Sort=A","Dates=H","DateFormat=P","Fill=—","Direction=H","UseDPDF=Y")</f>
        <v>#NAME?</v>
      </c>
      <c r="D77" s="14" t="e">
        <f ca="1">_xll.BDH("JBH AU Equity","TOT_LIAB_AND_EQY","FY 2020","FY 2020","Currency=AUD","Period=FY","BEST_FPERIOD_OVERRIDE=FY","FILING_STATUS=MR","SCALING_FORMAT=MLN","Sort=A","Dates=H","DateFormat=P","Fill=—","Direction=H","UseDPDF=Y")</f>
        <v>#NAME?</v>
      </c>
      <c r="E77" s="14" t="e">
        <f ca="1">_xll.BDH("JBH AU Equity","TOT_LIAB_AND_EQY","FY 2021","FY 2021","Currency=AUD","Period=FY","BEST_FPERIOD_OVERRIDE=FY","FILING_STATUS=MR","SCALING_FORMAT=MLN","Sort=A","Dates=H","DateFormat=P","Fill=—","Direction=H","UseDPDF=Y")</f>
        <v>#NAME?</v>
      </c>
      <c r="F77" s="14" t="e">
        <f ca="1">_xll.BDH("JBH AU Equity","TOT_LIAB_AND_EQY","FY 2022","FY 2022","Currency=AUD","Period=FY","BEST_FPERIOD_OVERRIDE=FY","FILING_STATUS=MR","SCALING_FORMAT=MLN","Sort=A","Dates=H","DateFormat=P","Fill=—","Direction=H","UseDPDF=Y")</f>
        <v>#NAME?</v>
      </c>
      <c r="G77" s="14" t="e">
        <f ca="1">_xll.BDH("JBH AU Equity","TOT_LIAB_AND_EQY","FY 2023","FY 2023","Currency=AUD","Period=FY","BEST_FPERIOD_OVERRIDE=FY","FILING_STATUS=MR","SCALING_FORMAT=MLN","Sort=A","Dates=H","DateFormat=P","Fill=—","Direction=H","UseDPDF=Y")</f>
        <v>#NAME?</v>
      </c>
      <c r="H77" s="14" t="e">
        <f ca="1">_xll.BDH("JBH AU Equity","TOT_LIAB_AND_EQY","FY 2024","FY 2024","Currency=AUD","Period=FY","BEST_FPERIOD_OVERRIDE=FY","FILING_STATUS=MR","SCALING_FORMAT=MLN","Sort=A","Dates=H","DateFormat=P","Fill=—","Direction=H","UseDPDF=Y")</f>
        <v>#NAME?</v>
      </c>
    </row>
    <row r="78" spans="1:8">
      <c r="A78" s="11"/>
      <c r="B78" s="12"/>
      <c r="C78" s="12"/>
      <c r="D78" s="12"/>
      <c r="E78" s="12"/>
      <c r="F78" s="12"/>
      <c r="G78" s="12"/>
      <c r="H78" s="12"/>
    </row>
    <row r="79" spans="1:8">
      <c r="A79" s="11" t="s">
        <v>522</v>
      </c>
      <c r="B79" s="12"/>
      <c r="C79" s="12"/>
      <c r="D79" s="12"/>
      <c r="E79" s="12"/>
      <c r="F79" s="12"/>
      <c r="G79" s="12"/>
      <c r="H79" s="12"/>
    </row>
    <row r="80" spans="1:8">
      <c r="A80" s="8" t="s">
        <v>21</v>
      </c>
      <c r="B80" s="8" t="s">
        <v>22</v>
      </c>
      <c r="C80" s="13" t="s">
        <v>23</v>
      </c>
      <c r="D80" s="13" t="s">
        <v>23</v>
      </c>
      <c r="E80" s="13" t="s">
        <v>23</v>
      </c>
      <c r="F80" s="13" t="s">
        <v>23</v>
      </c>
      <c r="G80" s="13" t="s">
        <v>23</v>
      </c>
      <c r="H80" s="13" t="s">
        <v>23</v>
      </c>
    </row>
    <row r="81" spans="1:8">
      <c r="A81" s="8" t="s">
        <v>28</v>
      </c>
      <c r="B81" s="8" t="s">
        <v>29</v>
      </c>
      <c r="C81" s="9" t="e">
        <f ca="1">_xll.BDH("JBH AU Equity","BS_SH_OUT","FY 2019","FY 2019","Currency=AUD","Period=FY","BEST_FPERIOD_OVERRIDE=FY","FILING_STATUS=MR","Sort=A","Dates=H","DateFormat=P","Fill=—","Direction=H","UseDPDF=Y")</f>
        <v>#NAME?</v>
      </c>
      <c r="D81" s="9" t="e">
        <f ca="1">_xll.BDH("JBH AU Equity","BS_SH_OUT","FY 2020","FY 2020","Currency=AUD","Period=FY","BEST_FPERIOD_OVERRIDE=FY","FILING_STATUS=MR","Sort=A","Dates=H","DateFormat=P","Fill=—","Direction=H","UseDPDF=Y")</f>
        <v>#NAME?</v>
      </c>
      <c r="E81" s="9" t="e">
        <f ca="1">_xll.BDH("JBH AU Equity","BS_SH_OUT","FY 2021","FY 2021","Currency=AUD","Period=FY","BEST_FPERIOD_OVERRIDE=FY","FILING_STATUS=MR","Sort=A","Dates=H","DateFormat=P","Fill=—","Direction=H","UseDPDF=Y")</f>
        <v>#NAME?</v>
      </c>
      <c r="F81" s="9" t="e">
        <f ca="1">_xll.BDH("JBH AU Equity","BS_SH_OUT","FY 2022","FY 2022","Currency=AUD","Period=FY","BEST_FPERIOD_OVERRIDE=FY","FILING_STATUS=MR","Sort=A","Dates=H","DateFormat=P","Fill=—","Direction=H","UseDPDF=Y")</f>
        <v>#NAME?</v>
      </c>
      <c r="G81" s="9" t="e">
        <f ca="1">_xll.BDH("JBH AU Equity","BS_SH_OUT","FY 2023","FY 2023","Currency=AUD","Period=FY","BEST_FPERIOD_OVERRIDE=FY","FILING_STATUS=MR","Sort=A","Dates=H","DateFormat=P","Fill=—","Direction=H","UseDPDF=Y")</f>
        <v>#NAME?</v>
      </c>
      <c r="H81" s="9" t="e">
        <f ca="1">_xll.BDH("JBH AU Equity","BS_SH_OUT","FY 2024","FY 2024","Currency=AUD","Period=FY","BEST_FPERIOD_OVERRIDE=FY","FILING_STATUS=MR","Sort=A","Dates=H","DateFormat=P","Fill=—","Direction=H","UseDPDF=Y")</f>
        <v>#NAME?</v>
      </c>
    </row>
    <row r="82" spans="1:8">
      <c r="A82" s="8" t="s">
        <v>523</v>
      </c>
      <c r="B82" s="8" t="s">
        <v>524</v>
      </c>
      <c r="C82" s="9" t="e">
        <f ca="1">_xll.BDH("JBH AU Equity","BS_NUM_OF_TSY_SH","FY 2019","FY 2019","Currency=AUD","Period=FY","BEST_FPERIOD_OVERRIDE=FY","FILING_STATUS=MR","Sort=A","Dates=H","DateFormat=P","Fill=—","Direction=H","UseDPDF=Y")</f>
        <v>#NAME?</v>
      </c>
      <c r="D82" s="9" t="e">
        <f ca="1">_xll.BDH("JBH AU Equity","BS_NUM_OF_TSY_SH","FY 2020","FY 2020","Currency=AUD","Period=FY","BEST_FPERIOD_OVERRIDE=FY","FILING_STATUS=MR","Sort=A","Dates=H","DateFormat=P","Fill=—","Direction=H","UseDPDF=Y")</f>
        <v>#NAME?</v>
      </c>
      <c r="E82" s="9" t="e">
        <f ca="1">_xll.BDH("JBH AU Equity","BS_NUM_OF_TSY_SH","FY 2021","FY 2021","Currency=AUD","Period=FY","BEST_FPERIOD_OVERRIDE=FY","FILING_STATUS=MR","Sort=A","Dates=H","DateFormat=P","Fill=—","Direction=H","UseDPDF=Y")</f>
        <v>#NAME?</v>
      </c>
      <c r="F82" s="9" t="e">
        <f ca="1">_xll.BDH("JBH AU Equity","BS_NUM_OF_TSY_SH","FY 2022","FY 2022","Currency=AUD","Period=FY","BEST_FPERIOD_OVERRIDE=FY","FILING_STATUS=MR","Sort=A","Dates=H","DateFormat=P","Fill=—","Direction=H","UseDPDF=Y")</f>
        <v>#NAME?</v>
      </c>
      <c r="G82" s="9" t="e">
        <f ca="1">_xll.BDH("JBH AU Equity","BS_NUM_OF_TSY_SH","FY 2023","FY 2023","Currency=AUD","Period=FY","BEST_FPERIOD_OVERRIDE=FY","FILING_STATUS=MR","Sort=A","Dates=H","DateFormat=P","Fill=—","Direction=H","UseDPDF=Y")</f>
        <v>#NAME?</v>
      </c>
      <c r="H82" s="9" t="e">
        <f ca="1">_xll.BDH("JBH AU Equity","BS_NUM_OF_TSY_SH","FY 2024","FY 2024","Currency=AUD","Period=FY","BEST_FPERIOD_OVERRIDE=FY","FILING_STATUS=MR","Sort=A","Dates=H","DateFormat=P","Fill=—","Direction=H","UseDPDF=Y")</f>
        <v>#NAME?</v>
      </c>
    </row>
    <row r="83" spans="1:8">
      <c r="A83" s="8" t="s">
        <v>525</v>
      </c>
      <c r="B83" s="8" t="s">
        <v>526</v>
      </c>
      <c r="C83" s="9" t="e">
        <f ca="1">_xll.BDH("JBH AU Equity","BS_PENSION_RSRV","FY 2019","FY 2019","Currency=AUD","Period=FY","BEST_FPERIOD_OVERRIDE=FY","FILING_STATUS=MR","SCALING_FORMAT=MLN","Sort=A","Dates=H","DateFormat=P","Fill=—","Direction=H","UseDPDF=Y")</f>
        <v>#NAME?</v>
      </c>
      <c r="D83" s="9" t="e">
        <f ca="1">_xll.BDH("JBH AU Equity","BS_PENSION_RSRV","FY 2020","FY 2020","Currency=AUD","Period=FY","BEST_FPERIOD_OVERRIDE=FY","FILING_STATUS=MR","SCALING_FORMAT=MLN","Sort=A","Dates=H","DateFormat=P","Fill=—","Direction=H","UseDPDF=Y")</f>
        <v>#NAME?</v>
      </c>
      <c r="E83" s="9" t="e">
        <f ca="1">_xll.BDH("JBH AU Equity","BS_PENSION_RSRV","FY 2021","FY 2021","Currency=AUD","Period=FY","BEST_FPERIOD_OVERRIDE=FY","FILING_STATUS=MR","SCALING_FORMAT=MLN","Sort=A","Dates=H","DateFormat=P","Fill=—","Direction=H","UseDPDF=Y")</f>
        <v>#NAME?</v>
      </c>
      <c r="F83" s="9" t="e">
        <f ca="1">_xll.BDH("JBH AU Equity","BS_PENSION_RSRV","FY 2022","FY 2022","Currency=AUD","Period=FY","BEST_FPERIOD_OVERRIDE=FY","FILING_STATUS=MR","SCALING_FORMAT=MLN","Sort=A","Dates=H","DateFormat=P","Fill=—","Direction=H","UseDPDF=Y")</f>
        <v>#NAME?</v>
      </c>
      <c r="G83" s="9" t="e">
        <f ca="1">_xll.BDH("JBH AU Equity","BS_PENSION_RSRV","FY 2023","FY 2023","Currency=AUD","Period=FY","BEST_FPERIOD_OVERRIDE=FY","FILING_STATUS=MR","SCALING_FORMAT=MLN","Sort=A","Dates=H","DateFormat=P","Fill=—","Direction=H","UseDPDF=Y")</f>
        <v>#NAME?</v>
      </c>
      <c r="H83" s="9" t="e">
        <f ca="1">_xll.BDH("JBH AU Equity","BS_PENSION_RSRV","FY 2024","FY 2024","Currency=AUD","Period=FY","BEST_FPERIOD_OVERRIDE=FY","FILING_STATUS=MR","SCALING_FORMAT=MLN","Sort=A","Dates=H","DateFormat=P","Fill=—","Direction=H","UseDPDF=Y")</f>
        <v>#NAME?</v>
      </c>
    </row>
    <row r="84" spans="1:8">
      <c r="A84" s="8" t="s">
        <v>527</v>
      </c>
      <c r="B84" s="8" t="s">
        <v>528</v>
      </c>
      <c r="C84" s="9" t="e">
        <f ca="1">_xll.BDH("JBH AU Equity","BS_FUTURE_MIN_OPER_LEASE_OBLIG","FY 2019","FY 2019","Currency=AUD","Period=FY","BEST_FPERIOD_OVERRIDE=FY","FILING_STATUS=MR","SCALING_FORMAT=MLN","Sort=A","Dates=H","DateFormat=P","Fill=—","Direction=H","UseDPDF=Y")</f>
        <v>#NAME?</v>
      </c>
      <c r="D84" s="9" t="e">
        <f ca="1">_xll.BDH("JBH AU Equity","BS_FUTURE_MIN_OPER_LEASE_OBLIG","FY 2020","FY 2020","Currency=AUD","Period=FY","BEST_FPERIOD_OVERRIDE=FY","FILING_STATUS=MR","SCALING_FORMAT=MLN","Sort=A","Dates=H","DateFormat=P","Fill=—","Direction=H","UseDPDF=Y")</f>
        <v>#NAME?</v>
      </c>
      <c r="E84" s="9" t="e">
        <f ca="1">_xll.BDH("JBH AU Equity","BS_FUTURE_MIN_OPER_LEASE_OBLIG","FY 2021","FY 2021","Currency=AUD","Period=FY","BEST_FPERIOD_OVERRIDE=FY","FILING_STATUS=MR","SCALING_FORMAT=MLN","Sort=A","Dates=H","DateFormat=P","Fill=—","Direction=H","UseDPDF=Y")</f>
        <v>#NAME?</v>
      </c>
      <c r="F84" s="9" t="e">
        <f ca="1">_xll.BDH("JBH AU Equity","BS_FUTURE_MIN_OPER_LEASE_OBLIG","FY 2022","FY 2022","Currency=AUD","Period=FY","BEST_FPERIOD_OVERRIDE=FY","FILING_STATUS=MR","SCALING_FORMAT=MLN","Sort=A","Dates=H","DateFormat=P","Fill=—","Direction=H","UseDPDF=Y")</f>
        <v>#NAME?</v>
      </c>
      <c r="G84" s="9" t="e">
        <f ca="1">_xll.BDH("JBH AU Equity","BS_FUTURE_MIN_OPER_LEASE_OBLIG","FY 2023","FY 2023","Currency=AUD","Period=FY","BEST_FPERIOD_OVERRIDE=FY","FILING_STATUS=MR","SCALING_FORMAT=MLN","Sort=A","Dates=H","DateFormat=P","Fill=—","Direction=H","UseDPDF=Y")</f>
        <v>#NAME?</v>
      </c>
      <c r="H84" s="9" t="e">
        <f ca="1">_xll.BDH("JBH AU Equity","BS_FUTURE_MIN_OPER_LEASE_OBLIG","FY 2024","FY 2024","Currency=AUD","Period=FY","BEST_FPERIOD_OVERRIDE=FY","FILING_STATUS=MR","SCALING_FORMAT=MLN","Sort=A","Dates=H","DateFormat=P","Fill=—","Direction=H","UseDPDF=Y")</f>
        <v>#NAME?</v>
      </c>
    </row>
    <row r="85" spans="1:8">
      <c r="A85" s="8" t="s">
        <v>529</v>
      </c>
      <c r="B85" s="8" t="s">
        <v>530</v>
      </c>
      <c r="C85" s="9" t="e">
        <f ca="1">_xll.BDH("JBH AU Equity","BS_TOTAL_CAPITAL_LEASES","FY 2019","FY 2019","Currency=AUD","Period=FY","BEST_FPERIOD_OVERRIDE=FY","FILING_STATUS=MR","SCALING_FORMAT=MLN","Sort=A","Dates=H","DateFormat=P","Fill=—","Direction=H","UseDPDF=Y")</f>
        <v>#NAME?</v>
      </c>
      <c r="D85" s="9" t="e">
        <f ca="1">_xll.BDH("JBH AU Equity","BS_TOTAL_CAPITAL_LEASES","FY 2020","FY 2020","Currency=AUD","Period=FY","BEST_FPERIOD_OVERRIDE=FY","FILING_STATUS=MR","SCALING_FORMAT=MLN","Sort=A","Dates=H","DateFormat=P","Fill=—","Direction=H","UseDPDF=Y")</f>
        <v>#NAME?</v>
      </c>
      <c r="E85" s="9" t="e">
        <f ca="1">_xll.BDH("JBH AU Equity","BS_TOTAL_CAPITAL_LEASES","FY 2021","FY 2021","Currency=AUD","Period=FY","BEST_FPERIOD_OVERRIDE=FY","FILING_STATUS=MR","SCALING_FORMAT=MLN","Sort=A","Dates=H","DateFormat=P","Fill=—","Direction=H","UseDPDF=Y")</f>
        <v>#NAME?</v>
      </c>
      <c r="F85" s="9" t="e">
        <f ca="1">_xll.BDH("JBH AU Equity","BS_TOTAL_CAPITAL_LEASES","FY 2022","FY 2022","Currency=AUD","Period=FY","BEST_FPERIOD_OVERRIDE=FY","FILING_STATUS=MR","SCALING_FORMAT=MLN","Sort=A","Dates=H","DateFormat=P","Fill=—","Direction=H","UseDPDF=Y")</f>
        <v>#NAME?</v>
      </c>
      <c r="G85" s="9" t="e">
        <f ca="1">_xll.BDH("JBH AU Equity","BS_TOTAL_CAPITAL_LEASES","FY 2023","FY 2023","Currency=AUD","Period=FY","BEST_FPERIOD_OVERRIDE=FY","FILING_STATUS=MR","SCALING_FORMAT=MLN","Sort=A","Dates=H","DateFormat=P","Fill=—","Direction=H","UseDPDF=Y")</f>
        <v>#NAME?</v>
      </c>
      <c r="H85" s="9" t="e">
        <f ca="1">_xll.BDH("JBH AU Equity","BS_TOTAL_CAPITAL_LEASES","FY 2024","FY 2024","Currency=AUD","Period=FY","BEST_FPERIOD_OVERRIDE=FY","FILING_STATUS=MR","SCALING_FORMAT=MLN","Sort=A","Dates=H","DateFormat=P","Fill=—","Direction=H","UseDPDF=Y")</f>
        <v>#NAME?</v>
      </c>
    </row>
    <row r="86" spans="1:8">
      <c r="A86" s="8" t="s">
        <v>531</v>
      </c>
      <c r="B86" s="8" t="s">
        <v>532</v>
      </c>
      <c r="C86" s="10" t="e">
        <f ca="1">_xll.BDH("JBH AU Equity","BS_NUM_OF_SHAREHOLDERS","FY 2019","FY 2019","Currency=AUD","Period=FY","BEST_FPERIOD_OVERRIDE=FY","FILING_STATUS=MR","Sort=A","Dates=H","DateFormat=P","Fill=—","Direction=H","UseDPDF=Y")</f>
        <v>#NAME?</v>
      </c>
      <c r="D86" s="10" t="e">
        <f ca="1">_xll.BDH("JBH AU Equity","BS_NUM_OF_SHAREHOLDERS","FY 2020","FY 2020","Currency=AUD","Period=FY","BEST_FPERIOD_OVERRIDE=FY","FILING_STATUS=MR","Sort=A","Dates=H","DateFormat=P","Fill=—","Direction=H","UseDPDF=Y")</f>
        <v>#NAME?</v>
      </c>
      <c r="E86" s="10" t="e">
        <f ca="1">_xll.BDH("JBH AU Equity","BS_NUM_OF_SHAREHOLDERS","FY 2021","FY 2021","Currency=AUD","Period=FY","BEST_FPERIOD_OVERRIDE=FY","FILING_STATUS=MR","Sort=A","Dates=H","DateFormat=P","Fill=—","Direction=H","UseDPDF=Y")</f>
        <v>#NAME?</v>
      </c>
      <c r="F86" s="10" t="e">
        <f ca="1">_xll.BDH("JBH AU Equity","BS_NUM_OF_SHAREHOLDERS","FY 2022","FY 2022","Currency=AUD","Period=FY","BEST_FPERIOD_OVERRIDE=FY","FILING_STATUS=MR","Sort=A","Dates=H","DateFormat=P","Fill=—","Direction=H","UseDPDF=Y")</f>
        <v>#NAME?</v>
      </c>
      <c r="G86" s="10" t="e">
        <f ca="1">_xll.BDH("JBH AU Equity","BS_NUM_OF_SHAREHOLDERS","FY 2023","FY 2023","Currency=AUD","Period=FY","BEST_FPERIOD_OVERRIDE=FY","FILING_STATUS=MR","Sort=A","Dates=H","DateFormat=P","Fill=—","Direction=H","UseDPDF=Y")</f>
        <v>#NAME?</v>
      </c>
      <c r="H86" s="10" t="e">
        <f ca="1">_xll.BDH("JBH AU Equity","BS_NUM_OF_SHAREHOLDERS","FY 2024","FY 2024","Currency=AUD","Period=FY","BEST_FPERIOD_OVERRIDE=FY","FILING_STATUS=MR","Sort=A","Dates=H","DateFormat=P","Fill=—","Direction=H","UseDPDF=Y")</f>
        <v>#NAME?</v>
      </c>
    </row>
    <row r="87" spans="1:8">
      <c r="A87" s="8" t="s">
        <v>533</v>
      </c>
      <c r="B87" s="8" t="s">
        <v>534</v>
      </c>
      <c r="C87" s="9" t="e">
        <f ca="1">_xll.BDH("JBH AU Equity","BS_OPTIONS_GRANTED","FY 2019","FY 2019","Currency=AUD","Period=FY","BEST_FPERIOD_OVERRIDE=FY","FILING_STATUS=MR","Sort=A","Dates=H","DateFormat=P","Fill=—","Direction=H","UseDPDF=Y")</f>
        <v>#NAME?</v>
      </c>
      <c r="D87" s="9" t="e">
        <f ca="1">_xll.BDH("JBH AU Equity","BS_OPTIONS_GRANTED","FY 2020","FY 2020","Currency=AUD","Period=FY","BEST_FPERIOD_OVERRIDE=FY","FILING_STATUS=MR","Sort=A","Dates=H","DateFormat=P","Fill=—","Direction=H","UseDPDF=Y")</f>
        <v>#NAME?</v>
      </c>
      <c r="E87" s="9" t="e">
        <f ca="1">_xll.BDH("JBH AU Equity","BS_OPTIONS_GRANTED","FY 2021","FY 2021","Currency=AUD","Period=FY","BEST_FPERIOD_OVERRIDE=FY","FILING_STATUS=MR","Sort=A","Dates=H","DateFormat=P","Fill=—","Direction=H","UseDPDF=Y")</f>
        <v>#NAME?</v>
      </c>
      <c r="F87" s="9" t="e">
        <f ca="1">_xll.BDH("JBH AU Equity","BS_OPTIONS_GRANTED","FY 2022","FY 2022","Currency=AUD","Period=FY","BEST_FPERIOD_OVERRIDE=FY","FILING_STATUS=MR","Sort=A","Dates=H","DateFormat=P","Fill=—","Direction=H","UseDPDF=Y")</f>
        <v>#NAME?</v>
      </c>
      <c r="G87" s="9" t="e">
        <f ca="1">_xll.BDH("JBH AU Equity","BS_OPTIONS_GRANTED","FY 2023","FY 2023","Currency=AUD","Period=FY","BEST_FPERIOD_OVERRIDE=FY","FILING_STATUS=MR","Sort=A","Dates=H","DateFormat=P","Fill=—","Direction=H","UseDPDF=Y")</f>
        <v>#NAME?</v>
      </c>
      <c r="H87" s="9" t="e">
        <f ca="1">_xll.BDH("JBH AU Equity","BS_OPTIONS_GRANTED","FY 2024","FY 2024","Currency=AUD","Period=FY","BEST_FPERIOD_OVERRIDE=FY","FILING_STATUS=MR","Sort=A","Dates=H","DateFormat=P","Fill=—","Direction=H","UseDPDF=Y")</f>
        <v>#NAME?</v>
      </c>
    </row>
    <row r="88" spans="1:8">
      <c r="A88" s="8" t="s">
        <v>535</v>
      </c>
      <c r="B88" s="8" t="s">
        <v>536</v>
      </c>
      <c r="C88" s="9" t="e">
        <f ca="1">_xll.BDH("JBH AU Equity","BS_OPTIONS_OUTSTANDING","FY 2019","FY 2019","Currency=AUD","Period=FY","BEST_FPERIOD_OVERRIDE=FY","FILING_STATUS=MR","Sort=A","Dates=H","DateFormat=P","Fill=—","Direction=H","UseDPDF=Y")</f>
        <v>#NAME?</v>
      </c>
      <c r="D88" s="9" t="e">
        <f ca="1">_xll.BDH("JBH AU Equity","BS_OPTIONS_OUTSTANDING","FY 2020","FY 2020","Currency=AUD","Period=FY","BEST_FPERIOD_OVERRIDE=FY","FILING_STATUS=MR","Sort=A","Dates=H","DateFormat=P","Fill=—","Direction=H","UseDPDF=Y")</f>
        <v>#NAME?</v>
      </c>
      <c r="E88" s="9" t="e">
        <f ca="1">_xll.BDH("JBH AU Equity","BS_OPTIONS_OUTSTANDING","FY 2021","FY 2021","Currency=AUD","Period=FY","BEST_FPERIOD_OVERRIDE=FY","FILING_STATUS=MR","Sort=A","Dates=H","DateFormat=P","Fill=—","Direction=H","UseDPDF=Y")</f>
        <v>#NAME?</v>
      </c>
      <c r="F88" s="9" t="e">
        <f ca="1">_xll.BDH("JBH AU Equity","BS_OPTIONS_OUTSTANDING","FY 2022","FY 2022","Currency=AUD","Period=FY","BEST_FPERIOD_OVERRIDE=FY","FILING_STATUS=MR","Sort=A","Dates=H","DateFormat=P","Fill=—","Direction=H","UseDPDF=Y")</f>
        <v>#NAME?</v>
      </c>
      <c r="G88" s="9" t="e">
        <f ca="1">_xll.BDH("JBH AU Equity","BS_OPTIONS_OUTSTANDING","FY 2023","FY 2023","Currency=AUD","Period=FY","BEST_FPERIOD_OVERRIDE=FY","FILING_STATUS=MR","Sort=A","Dates=H","DateFormat=P","Fill=—","Direction=H","UseDPDF=Y")</f>
        <v>#NAME?</v>
      </c>
      <c r="H88" s="9" t="e">
        <f ca="1">_xll.BDH("JBH AU Equity","BS_OPTIONS_OUTSTANDING","FY 2024","FY 2024","Currency=AUD","Period=FY","BEST_FPERIOD_OVERRIDE=FY","FILING_STATUS=MR","Sort=A","Dates=H","DateFormat=P","Fill=—","Direction=H","UseDPDF=Y")</f>
        <v>#NAME?</v>
      </c>
    </row>
    <row r="89" spans="1:8">
      <c r="A89" s="8" t="s">
        <v>537</v>
      </c>
      <c r="B89" s="8" t="s">
        <v>538</v>
      </c>
      <c r="C89" s="9" t="e">
        <f ca="1">_xll.BDH("JBH AU Equity","NET_DEBT","FY 2019","FY 2019","Currency=AUD","Period=FY","BEST_FPERIOD_OVERRIDE=FY","FILING_STATUS=MR","SCALING_FORMAT=MLN","Sort=A","Dates=H","DateFormat=P","Fill=—","Direction=H","UseDPDF=Y")</f>
        <v>#NAME?</v>
      </c>
      <c r="D89" s="9" t="e">
        <f ca="1">_xll.BDH("JBH AU Equity","NET_DEBT","FY 2020","FY 2020","Currency=AUD","Period=FY","BEST_FPERIOD_OVERRIDE=FY","FILING_STATUS=MR","SCALING_FORMAT=MLN","Sort=A","Dates=H","DateFormat=P","Fill=—","Direction=H","UseDPDF=Y")</f>
        <v>#NAME?</v>
      </c>
      <c r="E89" s="9" t="e">
        <f ca="1">_xll.BDH("JBH AU Equity","NET_DEBT","FY 2021","FY 2021","Currency=AUD","Period=FY","BEST_FPERIOD_OVERRIDE=FY","FILING_STATUS=MR","SCALING_FORMAT=MLN","Sort=A","Dates=H","DateFormat=P","Fill=—","Direction=H","UseDPDF=Y")</f>
        <v>#NAME?</v>
      </c>
      <c r="F89" s="9" t="e">
        <f ca="1">_xll.BDH("JBH AU Equity","NET_DEBT","FY 2022","FY 2022","Currency=AUD","Period=FY","BEST_FPERIOD_OVERRIDE=FY","FILING_STATUS=MR","SCALING_FORMAT=MLN","Sort=A","Dates=H","DateFormat=P","Fill=—","Direction=H","UseDPDF=Y")</f>
        <v>#NAME?</v>
      </c>
      <c r="G89" s="9" t="e">
        <f ca="1">_xll.BDH("JBH AU Equity","NET_DEBT","FY 2023","FY 2023","Currency=AUD","Period=FY","BEST_FPERIOD_OVERRIDE=FY","FILING_STATUS=MR","SCALING_FORMAT=MLN","Sort=A","Dates=H","DateFormat=P","Fill=—","Direction=H","UseDPDF=Y")</f>
        <v>#NAME?</v>
      </c>
      <c r="H89" s="9" t="e">
        <f ca="1">_xll.BDH("JBH AU Equity","NET_DEBT","FY 2024","FY 2024","Currency=AUD","Period=FY","BEST_FPERIOD_OVERRIDE=FY","FILING_STATUS=MR","SCALING_FORMAT=MLN","Sort=A","Dates=H","DateFormat=P","Fill=—","Direction=H","UseDPDF=Y")</f>
        <v>#NAME?</v>
      </c>
    </row>
    <row r="90" spans="1:8">
      <c r="A90" s="8" t="s">
        <v>539</v>
      </c>
      <c r="B90" s="8" t="s">
        <v>540</v>
      </c>
      <c r="C90" s="10" t="e">
        <f ca="1">_xll.BDH("JBH AU Equity","NET_DEBT_TO_SHRHLDR_EQTY","FY 2019","FY 2019","Currency=AUD","Period=FY","BEST_FPERIOD_OVERRIDE=FY","FILING_STATUS=MR","Sort=A","Dates=H","DateFormat=P","Fill=—","Direction=H","UseDPDF=Y")</f>
        <v>#NAME?</v>
      </c>
      <c r="D90" s="10" t="e">
        <f ca="1">_xll.BDH("JBH AU Equity","NET_DEBT_TO_SHRHLDR_EQTY","FY 2020","FY 2020","Currency=AUD","Period=FY","BEST_FPERIOD_OVERRIDE=FY","FILING_STATUS=MR","Sort=A","Dates=H","DateFormat=P","Fill=—","Direction=H","UseDPDF=Y")</f>
        <v>#NAME?</v>
      </c>
      <c r="E90" s="10" t="e">
        <f ca="1">_xll.BDH("JBH AU Equity","NET_DEBT_TO_SHRHLDR_EQTY","FY 2021","FY 2021","Currency=AUD","Period=FY","BEST_FPERIOD_OVERRIDE=FY","FILING_STATUS=MR","Sort=A","Dates=H","DateFormat=P","Fill=—","Direction=H","UseDPDF=Y")</f>
        <v>#NAME?</v>
      </c>
      <c r="F90" s="10" t="e">
        <f ca="1">_xll.BDH("JBH AU Equity","NET_DEBT_TO_SHRHLDR_EQTY","FY 2022","FY 2022","Currency=AUD","Period=FY","BEST_FPERIOD_OVERRIDE=FY","FILING_STATUS=MR","Sort=A","Dates=H","DateFormat=P","Fill=—","Direction=H","UseDPDF=Y")</f>
        <v>#NAME?</v>
      </c>
      <c r="G90" s="10" t="e">
        <f ca="1">_xll.BDH("JBH AU Equity","NET_DEBT_TO_SHRHLDR_EQTY","FY 2023","FY 2023","Currency=AUD","Period=FY","BEST_FPERIOD_OVERRIDE=FY","FILING_STATUS=MR","Sort=A","Dates=H","DateFormat=P","Fill=—","Direction=H","UseDPDF=Y")</f>
        <v>#NAME?</v>
      </c>
      <c r="H90" s="10" t="e">
        <f ca="1">_xll.BDH("JBH AU Equity","NET_DEBT_TO_SHRHLDR_EQTY","FY 2024","FY 2024","Currency=AUD","Period=FY","BEST_FPERIOD_OVERRIDE=FY","FILING_STATUS=MR","Sort=A","Dates=H","DateFormat=P","Fill=—","Direction=H","UseDPDF=Y")</f>
        <v>#NAME?</v>
      </c>
    </row>
    <row r="91" spans="1:8">
      <c r="A91" s="8" t="s">
        <v>541</v>
      </c>
      <c r="B91" s="8" t="s">
        <v>542</v>
      </c>
      <c r="C91" s="10" t="e">
        <f ca="1">_xll.BDH("JBH AU Equity","TCE_RATIO","FY 2019","FY 2019","Currency=AUD","Period=FY","BEST_FPERIOD_OVERRIDE=FY","FILING_STATUS=MR","Sort=A","Dates=H","DateFormat=P","Fill=—","Direction=H","UseDPDF=Y")</f>
        <v>#NAME?</v>
      </c>
      <c r="D91" s="10" t="e">
        <f ca="1">_xll.BDH("JBH AU Equity","TCE_RATIO","FY 2020","FY 2020","Currency=AUD","Period=FY","BEST_FPERIOD_OVERRIDE=FY","FILING_STATUS=MR","Sort=A","Dates=H","DateFormat=P","Fill=—","Direction=H","UseDPDF=Y")</f>
        <v>#NAME?</v>
      </c>
      <c r="E91" s="10" t="e">
        <f ca="1">_xll.BDH("JBH AU Equity","TCE_RATIO","FY 2021","FY 2021","Currency=AUD","Period=FY","BEST_FPERIOD_OVERRIDE=FY","FILING_STATUS=MR","Sort=A","Dates=H","DateFormat=P","Fill=—","Direction=H","UseDPDF=Y")</f>
        <v>#NAME?</v>
      </c>
      <c r="F91" s="10" t="e">
        <f ca="1">_xll.BDH("JBH AU Equity","TCE_RATIO","FY 2022","FY 2022","Currency=AUD","Period=FY","BEST_FPERIOD_OVERRIDE=FY","FILING_STATUS=MR","Sort=A","Dates=H","DateFormat=P","Fill=—","Direction=H","UseDPDF=Y")</f>
        <v>#NAME?</v>
      </c>
      <c r="G91" s="10" t="e">
        <f ca="1">_xll.BDH("JBH AU Equity","TCE_RATIO","FY 2023","FY 2023","Currency=AUD","Period=FY","BEST_FPERIOD_OVERRIDE=FY","FILING_STATUS=MR","Sort=A","Dates=H","DateFormat=P","Fill=—","Direction=H","UseDPDF=Y")</f>
        <v>#NAME?</v>
      </c>
      <c r="H91" s="10" t="e">
        <f ca="1">_xll.BDH("JBH AU Equity","TCE_RATIO","FY 2024","FY 2024","Currency=AUD","Period=FY","BEST_FPERIOD_OVERRIDE=FY","FILING_STATUS=MR","Sort=A","Dates=H","DateFormat=P","Fill=—","Direction=H","UseDPDF=Y")</f>
        <v>#NAME?</v>
      </c>
    </row>
    <row r="92" spans="1:8">
      <c r="A92" s="8" t="s">
        <v>543</v>
      </c>
      <c r="B92" s="8" t="s">
        <v>544</v>
      </c>
      <c r="C92" s="10" t="e">
        <f ca="1">_xll.BDH("JBH AU Equity","CUR_RATIO","FY 2019","FY 2019","Currency=AUD","Period=FY","BEST_FPERIOD_OVERRIDE=FY","FILING_STATUS=MR","Sort=A","Dates=H","DateFormat=P","Fill=—","Direction=H","UseDPDF=Y")</f>
        <v>#NAME?</v>
      </c>
      <c r="D92" s="10" t="e">
        <f ca="1">_xll.BDH("JBH AU Equity","CUR_RATIO","FY 2020","FY 2020","Currency=AUD","Period=FY","BEST_FPERIOD_OVERRIDE=FY","FILING_STATUS=MR","Sort=A","Dates=H","DateFormat=P","Fill=—","Direction=H","UseDPDF=Y")</f>
        <v>#NAME?</v>
      </c>
      <c r="E92" s="10" t="e">
        <f ca="1">_xll.BDH("JBH AU Equity","CUR_RATIO","FY 2021","FY 2021","Currency=AUD","Period=FY","BEST_FPERIOD_OVERRIDE=FY","FILING_STATUS=MR","Sort=A","Dates=H","DateFormat=P","Fill=—","Direction=H","UseDPDF=Y")</f>
        <v>#NAME?</v>
      </c>
      <c r="F92" s="10" t="e">
        <f ca="1">_xll.BDH("JBH AU Equity","CUR_RATIO","FY 2022","FY 2022","Currency=AUD","Period=FY","BEST_FPERIOD_OVERRIDE=FY","FILING_STATUS=MR","Sort=A","Dates=H","DateFormat=P","Fill=—","Direction=H","UseDPDF=Y")</f>
        <v>#NAME?</v>
      </c>
      <c r="G92" s="10" t="e">
        <f ca="1">_xll.BDH("JBH AU Equity","CUR_RATIO","FY 2023","FY 2023","Currency=AUD","Period=FY","BEST_FPERIOD_OVERRIDE=FY","FILING_STATUS=MR","Sort=A","Dates=H","DateFormat=P","Fill=—","Direction=H","UseDPDF=Y")</f>
        <v>#NAME?</v>
      </c>
      <c r="H92" s="10" t="e">
        <f ca="1">_xll.BDH("JBH AU Equity","CUR_RATIO","FY 2024","FY 2024","Currency=AUD","Period=FY","BEST_FPERIOD_OVERRIDE=FY","FILING_STATUS=MR","Sort=A","Dates=H","DateFormat=P","Fill=—","Direction=H","UseDPDF=Y")</f>
        <v>#NAME?</v>
      </c>
    </row>
    <row r="93" spans="1:8">
      <c r="A93" s="8" t="s">
        <v>545</v>
      </c>
      <c r="B93" s="8" t="s">
        <v>546</v>
      </c>
      <c r="C93" s="10" t="e">
        <f ca="1">_xll.BDH("JBH AU Equity","CASH_CONVERSION_CYCLE","FY 2019","FY 2019","Currency=AUD","Period=FY","BEST_FPERIOD_OVERRIDE=FY","FILING_STATUS=MR","FA_ADJUSTED=GAAP","Sort=A","Dates=H","DateFormat=P","Fill=—","Direction=H","UseDPDF=Y")</f>
        <v>#NAME?</v>
      </c>
      <c r="D93" s="10" t="e">
        <f ca="1">_xll.BDH("JBH AU Equity","CASH_CONVERSION_CYCLE","FY 2020","FY 2020","Currency=AUD","Period=FY","BEST_FPERIOD_OVERRIDE=FY","FILING_STATUS=MR","FA_ADJUSTED=GAAP","Sort=A","Dates=H","DateFormat=P","Fill=—","Direction=H","UseDPDF=Y")</f>
        <v>#NAME?</v>
      </c>
      <c r="E93" s="10" t="e">
        <f ca="1">_xll.BDH("JBH AU Equity","CASH_CONVERSION_CYCLE","FY 2021","FY 2021","Currency=AUD","Period=FY","BEST_FPERIOD_OVERRIDE=FY","FILING_STATUS=MR","FA_ADJUSTED=GAAP","Sort=A","Dates=H","DateFormat=P","Fill=—","Direction=H","UseDPDF=Y")</f>
        <v>#NAME?</v>
      </c>
      <c r="F93" s="10" t="e">
        <f ca="1">_xll.BDH("JBH AU Equity","CASH_CONVERSION_CYCLE","FY 2022","FY 2022","Currency=AUD","Period=FY","BEST_FPERIOD_OVERRIDE=FY","FILING_STATUS=MR","FA_ADJUSTED=GAAP","Sort=A","Dates=H","DateFormat=P","Fill=—","Direction=H","UseDPDF=Y")</f>
        <v>#NAME?</v>
      </c>
      <c r="G93" s="10" t="e">
        <f ca="1">_xll.BDH("JBH AU Equity","CASH_CONVERSION_CYCLE","FY 2023","FY 2023","Currency=AUD","Period=FY","BEST_FPERIOD_OVERRIDE=FY","FILING_STATUS=MR","FA_ADJUSTED=GAAP","Sort=A","Dates=H","DateFormat=P","Fill=—","Direction=H","UseDPDF=Y")</f>
        <v>#NAME?</v>
      </c>
      <c r="H93" s="10" t="e">
        <f ca="1">_xll.BDH("JBH AU Equity","CASH_CONVERSION_CYCLE","FY 2024","FY 2024","Currency=AUD","Period=FY","BEST_FPERIOD_OVERRIDE=FY","FILING_STATUS=MR","FA_ADJUSTED=GAAP","Sort=A","Dates=H","DateFormat=P","Fill=—","Direction=H","UseDPDF=Y")</f>
        <v>#NAME?</v>
      </c>
    </row>
    <row r="94" spans="1:8">
      <c r="A94" s="8" t="s">
        <v>24</v>
      </c>
      <c r="B94" s="8" t="s">
        <v>25</v>
      </c>
      <c r="C94" s="10" t="e">
        <f ca="1">_xll.BDH("JBH AU Equity","NUM_OF_EMPLOYEES","FY 2019","FY 2019","Currency=AUD","Period=FY","BEST_FPERIOD_OVERRIDE=FY","FILING_STATUS=MR","Sort=A","Dates=H","DateFormat=P","Fill=—","Direction=H","UseDPDF=Y")</f>
        <v>#NAME?</v>
      </c>
      <c r="D94" s="10" t="e">
        <f ca="1">_xll.BDH("JBH AU Equity","NUM_OF_EMPLOYEES","FY 2020","FY 2020","Currency=AUD","Period=FY","BEST_FPERIOD_OVERRIDE=FY","FILING_STATUS=MR","Sort=A","Dates=H","DateFormat=P","Fill=—","Direction=H","UseDPDF=Y")</f>
        <v>#NAME?</v>
      </c>
      <c r="E94" s="10" t="e">
        <f ca="1">_xll.BDH("JBH AU Equity","NUM_OF_EMPLOYEES","FY 2021","FY 2021","Currency=AUD","Period=FY","BEST_FPERIOD_OVERRIDE=FY","FILING_STATUS=MR","Sort=A","Dates=H","DateFormat=P","Fill=—","Direction=H","UseDPDF=Y")</f>
        <v>#NAME?</v>
      </c>
      <c r="F94" s="10" t="e">
        <f ca="1">_xll.BDH("JBH AU Equity","NUM_OF_EMPLOYEES","FY 2022","FY 2022","Currency=AUD","Period=FY","BEST_FPERIOD_OVERRIDE=FY","FILING_STATUS=MR","Sort=A","Dates=H","DateFormat=P","Fill=—","Direction=H","UseDPDF=Y")</f>
        <v>#NAME?</v>
      </c>
      <c r="G94" s="10" t="e">
        <f ca="1">_xll.BDH("JBH AU Equity","NUM_OF_EMPLOYEES","FY 2023","FY 2023","Currency=AUD","Period=FY","BEST_FPERIOD_OVERRIDE=FY","FILING_STATUS=MR","Sort=A","Dates=H","DateFormat=P","Fill=—","Direction=H","UseDPDF=Y")</f>
        <v>#NAME?</v>
      </c>
      <c r="H94" s="10" t="e">
        <f ca="1">_xll.BDH("JBH AU Equity","NUM_OF_EMPLOYEES","FY 2024","FY 2024","Currency=AUD","Period=FY","BEST_FPERIOD_OVERRIDE=FY","FILING_STATUS=MR","Sort=A","Dates=H","DateFormat=P","Fill=—","Direction=H","UseDPDF=Y")</f>
        <v>#NAME?</v>
      </c>
    </row>
    <row r="95" spans="1:8">
      <c r="A95" s="26" t="s">
        <v>75</v>
      </c>
      <c r="B95" s="26"/>
      <c r="C95" s="26" t="s">
        <v>76</v>
      </c>
      <c r="D95" s="26"/>
      <c r="E95" s="26"/>
      <c r="F95" s="26"/>
      <c r="G95" s="26"/>
      <c r="H95" s="26"/>
    </row>
    <row r="96" spans="1:8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B630E-4C75-43CB-880E-406BA71CF60C}">
  <dimension ref="A1:H37"/>
  <sheetViews>
    <sheetView topLeftCell="A7" workbookViewId="0">
      <selection activeCell="B58" sqref="B58"/>
    </sheetView>
  </sheetViews>
  <sheetFormatPr defaultRowHeight="15"/>
  <cols>
    <col min="1" max="1" width="54.85546875" bestFit="1" customWidth="1"/>
    <col min="2" max="2" width="40.28515625" bestFit="1" customWidth="1"/>
  </cols>
  <sheetData>
    <row r="1" spans="1:8">
      <c r="A1" s="1"/>
      <c r="B1" s="1"/>
      <c r="C1" s="1"/>
      <c r="D1" s="1"/>
      <c r="E1" s="1"/>
      <c r="F1" s="1"/>
      <c r="G1" s="1"/>
      <c r="H1" s="1"/>
    </row>
    <row r="2" spans="1:8" ht="20.25">
      <c r="A2" s="2" t="s">
        <v>392</v>
      </c>
      <c r="B2" s="2"/>
      <c r="C2" s="2"/>
      <c r="D2" s="2"/>
      <c r="E2" s="2"/>
      <c r="F2" s="2"/>
      <c r="G2" s="2"/>
      <c r="H2" s="2"/>
    </row>
    <row r="3" spans="1:8">
      <c r="A3" s="3"/>
      <c r="B3" s="3"/>
      <c r="C3" s="3"/>
      <c r="D3" s="3"/>
      <c r="E3" s="3"/>
      <c r="F3" s="3"/>
      <c r="G3" s="3"/>
      <c r="H3" s="3"/>
    </row>
    <row r="4" spans="1:8">
      <c r="A4" s="4" t="s">
        <v>1</v>
      </c>
      <c r="B4" s="4"/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</row>
    <row r="5" spans="1:8">
      <c r="A5" s="6" t="s">
        <v>11</v>
      </c>
      <c r="B5" s="6"/>
      <c r="C5" s="7" t="s">
        <v>12</v>
      </c>
      <c r="D5" s="7" t="s">
        <v>13</v>
      </c>
      <c r="E5" s="7" t="s">
        <v>14</v>
      </c>
      <c r="F5" s="7" t="s">
        <v>15</v>
      </c>
      <c r="G5" s="7" t="s">
        <v>16</v>
      </c>
      <c r="H5" s="7" t="s">
        <v>17</v>
      </c>
    </row>
    <row r="6" spans="1:8">
      <c r="A6" s="11" t="s">
        <v>51</v>
      </c>
      <c r="B6" s="12"/>
      <c r="C6" s="12"/>
      <c r="D6" s="12"/>
      <c r="E6" s="12"/>
      <c r="F6" s="12"/>
      <c r="G6" s="12"/>
      <c r="H6" s="12"/>
    </row>
    <row r="7" spans="1:8">
      <c r="A7" s="8" t="s">
        <v>393</v>
      </c>
      <c r="B7" s="8" t="s">
        <v>394</v>
      </c>
      <c r="C7" s="9">
        <v>119.2</v>
      </c>
      <c r="D7" s="9">
        <v>251.5</v>
      </c>
      <c r="E7" s="9">
        <v>263.2</v>
      </c>
      <c r="F7" s="9">
        <v>125.6</v>
      </c>
      <c r="G7" s="9">
        <v>177.3</v>
      </c>
      <c r="H7" s="9">
        <v>317.7</v>
      </c>
    </row>
    <row r="8" spans="1:8">
      <c r="A8" s="8" t="s">
        <v>395</v>
      </c>
      <c r="B8" s="8" t="s">
        <v>396</v>
      </c>
      <c r="C8" s="9">
        <v>119.2</v>
      </c>
      <c r="D8" s="9">
        <v>251.5</v>
      </c>
      <c r="E8" s="9">
        <v>263.2</v>
      </c>
      <c r="F8" s="9">
        <v>125.6</v>
      </c>
      <c r="G8" s="9">
        <v>177.3</v>
      </c>
      <c r="H8" s="9">
        <v>317.7</v>
      </c>
    </row>
    <row r="9" spans="1:8">
      <c r="A9" s="8" t="s">
        <v>397</v>
      </c>
      <c r="B9" s="8" t="s">
        <v>398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</row>
    <row r="10" spans="1:8">
      <c r="A10" s="8" t="s">
        <v>399</v>
      </c>
      <c r="B10" s="8" t="s">
        <v>400</v>
      </c>
      <c r="C10" s="9">
        <v>67.599999999999994</v>
      </c>
      <c r="D10" s="9">
        <v>58.2</v>
      </c>
      <c r="E10" s="9">
        <v>57.7</v>
      </c>
      <c r="F10" s="9">
        <v>66.5</v>
      </c>
      <c r="G10" s="9">
        <v>60.8</v>
      </c>
      <c r="H10" s="9">
        <v>56</v>
      </c>
    </row>
    <row r="11" spans="1:8">
      <c r="A11" s="8" t="s">
        <v>401</v>
      </c>
      <c r="B11" s="8" t="s">
        <v>402</v>
      </c>
      <c r="C11" s="9">
        <v>67.599999999999994</v>
      </c>
      <c r="D11" s="9">
        <v>58.2</v>
      </c>
      <c r="E11" s="9">
        <v>57.7</v>
      </c>
      <c r="F11" s="9">
        <v>66.5</v>
      </c>
      <c r="G11" s="9">
        <v>60.8</v>
      </c>
      <c r="H11" s="9">
        <v>56</v>
      </c>
    </row>
    <row r="12" spans="1:8">
      <c r="A12" s="8" t="s">
        <v>403</v>
      </c>
      <c r="B12" s="8" t="s">
        <v>404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</row>
    <row r="13" spans="1:8">
      <c r="A13" s="8" t="s">
        <v>405</v>
      </c>
      <c r="B13" s="8" t="s">
        <v>406</v>
      </c>
      <c r="C13" s="9">
        <v>886.7</v>
      </c>
      <c r="D13" s="9">
        <v>739.3</v>
      </c>
      <c r="E13" s="9">
        <v>938.8</v>
      </c>
      <c r="F13" s="9">
        <v>1135.3</v>
      </c>
      <c r="G13" s="9">
        <v>1040.9000000000001</v>
      </c>
      <c r="H13" s="9">
        <v>1093.5999999999999</v>
      </c>
    </row>
    <row r="14" spans="1:8">
      <c r="A14" s="8" t="s">
        <v>407</v>
      </c>
      <c r="B14" s="8" t="s">
        <v>408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</row>
    <row r="15" spans="1:8">
      <c r="A15" s="8" t="s">
        <v>409</v>
      </c>
      <c r="B15" s="8" t="s">
        <v>410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</row>
    <row r="16" spans="1:8">
      <c r="A16" s="8" t="s">
        <v>411</v>
      </c>
      <c r="B16" s="8" t="s">
        <v>412</v>
      </c>
      <c r="C16" s="9">
        <v>886.7</v>
      </c>
      <c r="D16" s="9">
        <v>739.3</v>
      </c>
      <c r="E16" s="9">
        <v>938.8</v>
      </c>
      <c r="F16" s="9">
        <v>1135.3</v>
      </c>
      <c r="G16" s="9">
        <v>1040.9000000000001</v>
      </c>
      <c r="H16" s="9">
        <v>1093.5999999999999</v>
      </c>
    </row>
    <row r="17" spans="1:8">
      <c r="A17" s="8" t="s">
        <v>413</v>
      </c>
      <c r="B17" s="8" t="s">
        <v>414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</row>
    <row r="18" spans="1:8">
      <c r="A18" s="8" t="s">
        <v>415</v>
      </c>
      <c r="B18" s="8" t="s">
        <v>416</v>
      </c>
      <c r="C18" s="9">
        <v>221.4</v>
      </c>
      <c r="D18" s="9">
        <v>196.8</v>
      </c>
      <c r="E18" s="9">
        <v>189.6</v>
      </c>
      <c r="F18" s="9">
        <v>97.3</v>
      </c>
      <c r="G18" s="9">
        <v>120.3</v>
      </c>
      <c r="H18" s="9">
        <v>119</v>
      </c>
    </row>
    <row r="19" spans="1:8">
      <c r="A19" s="8" t="s">
        <v>417</v>
      </c>
      <c r="B19" s="8" t="s">
        <v>418</v>
      </c>
      <c r="C19" s="9">
        <v>30</v>
      </c>
      <c r="D19" s="9">
        <v>30.8</v>
      </c>
      <c r="E19" s="9">
        <v>30.7</v>
      </c>
      <c r="F19" s="9">
        <v>30.3</v>
      </c>
      <c r="G19" s="9">
        <v>34.6</v>
      </c>
      <c r="H19" s="9">
        <v>39.9</v>
      </c>
    </row>
    <row r="20" spans="1:8">
      <c r="A20" s="8" t="s">
        <v>419</v>
      </c>
      <c r="B20" s="8" t="s">
        <v>420</v>
      </c>
      <c r="C20" s="9" t="s">
        <v>333</v>
      </c>
      <c r="D20" s="9" t="s">
        <v>333</v>
      </c>
      <c r="E20" s="9" t="s">
        <v>333</v>
      </c>
      <c r="F20" s="9" t="s">
        <v>333</v>
      </c>
      <c r="G20" s="9" t="s">
        <v>333</v>
      </c>
      <c r="H20" s="9">
        <v>0</v>
      </c>
    </row>
    <row r="21" spans="1:8">
      <c r="A21" s="8" t="s">
        <v>421</v>
      </c>
      <c r="B21" s="8" t="s">
        <v>422</v>
      </c>
      <c r="C21" s="9">
        <v>191.4</v>
      </c>
      <c r="D21" s="9">
        <v>166</v>
      </c>
      <c r="E21" s="9">
        <v>158.9</v>
      </c>
      <c r="F21" s="9">
        <v>67</v>
      </c>
      <c r="G21" s="9">
        <v>85.7</v>
      </c>
      <c r="H21" s="9">
        <v>79.099999999999994</v>
      </c>
    </row>
    <row r="22" spans="1:8">
      <c r="A22" s="11" t="s">
        <v>423</v>
      </c>
      <c r="B22" s="11" t="s">
        <v>424</v>
      </c>
      <c r="C22" s="14">
        <v>1294.9000000000001</v>
      </c>
      <c r="D22" s="14">
        <v>1245.8</v>
      </c>
      <c r="E22" s="14">
        <v>1449.3</v>
      </c>
      <c r="F22" s="14">
        <v>1424.7</v>
      </c>
      <c r="G22" s="14">
        <v>1399.3</v>
      </c>
      <c r="H22" s="14">
        <v>1586.3</v>
      </c>
    </row>
    <row r="23" spans="1:8">
      <c r="A23" s="8" t="s">
        <v>425</v>
      </c>
      <c r="B23" s="8" t="s">
        <v>50</v>
      </c>
      <c r="C23" s="9">
        <v>191.5</v>
      </c>
      <c r="D23" s="9">
        <v>814.5</v>
      </c>
      <c r="E23" s="9">
        <v>705.3</v>
      </c>
      <c r="F23" s="9">
        <v>630.6</v>
      </c>
      <c r="G23" s="9">
        <v>712.9</v>
      </c>
      <c r="H23" s="9">
        <v>765.2</v>
      </c>
    </row>
    <row r="24" spans="1:8">
      <c r="A24" s="8" t="s">
        <v>426</v>
      </c>
      <c r="B24" s="8" t="s">
        <v>427</v>
      </c>
      <c r="C24" s="9">
        <v>555.1</v>
      </c>
      <c r="D24" s="9">
        <v>1499.3</v>
      </c>
      <c r="E24" s="9">
        <v>1548.1</v>
      </c>
      <c r="F24" s="9">
        <v>1630.3</v>
      </c>
      <c r="G24" s="9">
        <v>1830.6</v>
      </c>
      <c r="H24" s="9">
        <v>1824.8</v>
      </c>
    </row>
    <row r="25" spans="1:8">
      <c r="A25" s="8" t="s">
        <v>428</v>
      </c>
      <c r="B25" s="8" t="s">
        <v>429</v>
      </c>
      <c r="C25" s="9">
        <v>363.6</v>
      </c>
      <c r="D25" s="9">
        <v>684.8</v>
      </c>
      <c r="E25" s="9">
        <v>842.8</v>
      </c>
      <c r="F25" s="9">
        <v>999.7</v>
      </c>
      <c r="G25" s="9">
        <v>1117.7</v>
      </c>
      <c r="H25" s="9">
        <v>1059.5999999999999</v>
      </c>
    </row>
    <row r="26" spans="1:8">
      <c r="A26" s="8" t="s">
        <v>430</v>
      </c>
      <c r="B26" s="8" t="s">
        <v>431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</row>
    <row r="27" spans="1:8">
      <c r="A27" s="8" t="s">
        <v>432</v>
      </c>
      <c r="B27" s="8" t="s">
        <v>433</v>
      </c>
      <c r="C27" s="9">
        <v>1080.8</v>
      </c>
      <c r="D27" s="9">
        <v>1092</v>
      </c>
      <c r="E27" s="9">
        <v>1100.7</v>
      </c>
      <c r="F27" s="9">
        <v>1106.0999999999999</v>
      </c>
      <c r="G27" s="9">
        <v>1122.7</v>
      </c>
      <c r="H27" s="9">
        <v>1135.0999999999999</v>
      </c>
    </row>
    <row r="28" spans="1:8">
      <c r="A28" s="8" t="s">
        <v>434</v>
      </c>
      <c r="B28" s="8" t="s">
        <v>435</v>
      </c>
      <c r="C28" s="9">
        <v>1037.3</v>
      </c>
      <c r="D28" s="9">
        <v>1031.4000000000001</v>
      </c>
      <c r="E28" s="9">
        <v>1031.4000000000001</v>
      </c>
      <c r="F28" s="9">
        <v>1031.4000000000001</v>
      </c>
      <c r="G28" s="9">
        <v>1031.4000000000001</v>
      </c>
      <c r="H28" s="9">
        <v>1031.4000000000001</v>
      </c>
    </row>
    <row r="29" spans="1:8">
      <c r="A29" s="15" t="s">
        <v>436</v>
      </c>
      <c r="B29" s="15" t="s">
        <v>437</v>
      </c>
      <c r="C29" s="16">
        <v>747</v>
      </c>
      <c r="D29" s="16">
        <v>747</v>
      </c>
      <c r="E29" s="16">
        <v>747</v>
      </c>
      <c r="F29" s="16">
        <v>747</v>
      </c>
      <c r="G29" s="16">
        <v>747</v>
      </c>
      <c r="H29" s="16">
        <v>747</v>
      </c>
    </row>
    <row r="30" spans="1:8">
      <c r="A30" s="15" t="s">
        <v>438</v>
      </c>
      <c r="B30" s="15" t="s">
        <v>439</v>
      </c>
      <c r="C30" s="16">
        <v>290.3</v>
      </c>
      <c r="D30" s="16">
        <v>284.39999999999998</v>
      </c>
      <c r="E30" s="16">
        <v>284.39999999999998</v>
      </c>
      <c r="F30" s="16">
        <v>284.39999999999998</v>
      </c>
      <c r="G30" s="16">
        <v>284.39999999999998</v>
      </c>
      <c r="H30" s="16">
        <v>284.39999999999998</v>
      </c>
    </row>
    <row r="31" spans="1:8">
      <c r="A31" s="8" t="s">
        <v>440</v>
      </c>
      <c r="B31" s="8" t="s">
        <v>441</v>
      </c>
      <c r="C31" s="9">
        <v>40.799999999999997</v>
      </c>
      <c r="D31" s="9">
        <v>38.4</v>
      </c>
      <c r="E31" s="9">
        <v>39</v>
      </c>
      <c r="F31" s="9">
        <v>44.1</v>
      </c>
      <c r="G31" s="9">
        <v>50.2</v>
      </c>
      <c r="H31" s="9">
        <v>53.5</v>
      </c>
    </row>
    <row r="32" spans="1:8">
      <c r="A32" s="8" t="s">
        <v>442</v>
      </c>
      <c r="B32" s="8" t="s">
        <v>443</v>
      </c>
      <c r="C32" s="9">
        <v>2.7</v>
      </c>
      <c r="D32" s="9">
        <v>22.2</v>
      </c>
      <c r="E32" s="9">
        <v>30.3</v>
      </c>
      <c r="F32" s="9">
        <v>30.6</v>
      </c>
      <c r="G32" s="9">
        <v>41.1</v>
      </c>
      <c r="H32" s="9">
        <v>50.2</v>
      </c>
    </row>
    <row r="33" spans="1:8">
      <c r="A33" s="8" t="s">
        <v>419</v>
      </c>
      <c r="B33" s="8" t="s">
        <v>444</v>
      </c>
      <c r="C33" s="9" t="s">
        <v>333</v>
      </c>
      <c r="D33" s="9" t="s">
        <v>333</v>
      </c>
      <c r="E33" s="9" t="s">
        <v>333</v>
      </c>
      <c r="F33" s="9" t="s">
        <v>333</v>
      </c>
      <c r="G33" s="9">
        <v>0</v>
      </c>
      <c r="H33" s="9">
        <v>0</v>
      </c>
    </row>
    <row r="34" spans="1:8">
      <c r="A34" s="8" t="s">
        <v>445</v>
      </c>
      <c r="B34" s="8" t="s">
        <v>446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</row>
    <row r="35" spans="1:8">
      <c r="A35" s="8" t="s">
        <v>447</v>
      </c>
      <c r="B35" s="8" t="s">
        <v>448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</row>
    <row r="36" spans="1:8">
      <c r="A36" s="11" t="s">
        <v>449</v>
      </c>
      <c r="B36" s="11" t="s">
        <v>450</v>
      </c>
      <c r="C36" s="14">
        <v>1272.3</v>
      </c>
      <c r="D36" s="14">
        <v>1906.5</v>
      </c>
      <c r="E36" s="14">
        <v>1806</v>
      </c>
      <c r="F36" s="14">
        <v>1736.7</v>
      </c>
      <c r="G36" s="14">
        <v>1835.6</v>
      </c>
      <c r="H36" s="14">
        <v>1900.3</v>
      </c>
    </row>
    <row r="37" spans="1:8">
      <c r="A37" s="11" t="s">
        <v>51</v>
      </c>
      <c r="B37" s="11" t="s">
        <v>52</v>
      </c>
      <c r="C37" s="14">
        <v>2567.1999999999998</v>
      </c>
      <c r="D37" s="14">
        <v>3152.3</v>
      </c>
      <c r="E37" s="14">
        <v>3255.3</v>
      </c>
      <c r="F37" s="14">
        <v>3161.4</v>
      </c>
      <c r="G37" s="14">
        <v>3234.9</v>
      </c>
      <c r="H37" s="14">
        <v>3486.6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F1EDE-5A50-486D-8122-7E0A0B37DC27}">
  <dimension ref="A1:J78"/>
  <sheetViews>
    <sheetView topLeftCell="A13" zoomScale="90" zoomScaleNormal="90" workbookViewId="0">
      <selection activeCell="A72" sqref="A72:XFD1048576"/>
    </sheetView>
  </sheetViews>
  <sheetFormatPr defaultColWidth="0" defaultRowHeight="15" zeroHeight="1"/>
  <cols>
    <col min="1" max="1" width="35.140625" customWidth="1"/>
    <col min="2" max="2" width="0" hidden="1" customWidth="1"/>
    <col min="3" max="6" width="11.85546875" customWidth="1"/>
    <col min="7" max="7" width="10.140625" bestFit="1" customWidth="1"/>
    <col min="8" max="9" width="11" bestFit="1" customWidth="1"/>
    <col min="10" max="10" width="9.140625" customWidth="1"/>
    <col min="11" max="16384" width="9.140625" hidden="1"/>
  </cols>
  <sheetData>
    <row r="1" spans="1:9">
      <c r="A1" s="1"/>
      <c r="B1" s="1"/>
      <c r="C1" s="1"/>
      <c r="D1" s="1"/>
      <c r="E1" s="1"/>
      <c r="F1" s="1"/>
      <c r="G1" s="1"/>
      <c r="H1" s="1"/>
      <c r="I1" s="1"/>
    </row>
    <row r="2" spans="1:9" ht="20.25">
      <c r="A2" s="2" t="s">
        <v>392</v>
      </c>
      <c r="B2" s="2"/>
      <c r="C2" s="2"/>
      <c r="D2" s="2"/>
      <c r="E2" s="2"/>
      <c r="F2" s="2"/>
      <c r="G2" s="2"/>
      <c r="H2" s="2"/>
      <c r="I2" s="2"/>
    </row>
    <row r="3" spans="1:9">
      <c r="A3" s="3"/>
      <c r="B3" s="3"/>
      <c r="C3" s="3"/>
      <c r="D3" s="3"/>
      <c r="E3" s="3"/>
      <c r="F3" s="3"/>
      <c r="G3" s="3"/>
      <c r="H3" s="3"/>
      <c r="I3" s="3"/>
    </row>
    <row r="4" spans="1:9">
      <c r="A4" s="4" t="s">
        <v>1</v>
      </c>
      <c r="B4" s="4"/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</row>
    <row r="5" spans="1:9">
      <c r="A5" s="6" t="s">
        <v>11</v>
      </c>
      <c r="B5" s="6"/>
      <c r="C5" s="7" t="s">
        <v>12</v>
      </c>
      <c r="D5" s="7" t="s">
        <v>13</v>
      </c>
      <c r="E5" s="7" t="s">
        <v>14</v>
      </c>
      <c r="F5" s="7" t="s">
        <v>15</v>
      </c>
      <c r="G5" s="7" t="s">
        <v>16</v>
      </c>
      <c r="H5" s="7" t="s">
        <v>17</v>
      </c>
      <c r="I5" s="7" t="s">
        <v>18</v>
      </c>
    </row>
    <row r="6" spans="1:9">
      <c r="A6" s="11" t="s">
        <v>547</v>
      </c>
      <c r="B6" s="12"/>
      <c r="C6" s="12"/>
      <c r="D6" s="12"/>
      <c r="E6" s="12"/>
      <c r="F6" s="12"/>
      <c r="G6" s="12"/>
      <c r="H6" s="12"/>
      <c r="I6" s="30"/>
    </row>
    <row r="7" spans="1:9">
      <c r="A7" s="8" t="s">
        <v>548</v>
      </c>
      <c r="B7" s="8" t="s">
        <v>549</v>
      </c>
      <c r="C7" s="9">
        <v>249.8</v>
      </c>
      <c r="D7" s="9">
        <v>302.3</v>
      </c>
      <c r="E7" s="9">
        <v>506.1</v>
      </c>
      <c r="F7" s="9">
        <v>544.9</v>
      </c>
      <c r="G7" s="9">
        <v>524.6</v>
      </c>
      <c r="H7" s="9">
        <v>438.8</v>
      </c>
      <c r="I7" s="18">
        <v>459.9</v>
      </c>
    </row>
    <row r="8" spans="1:9">
      <c r="A8" s="8" t="s">
        <v>550</v>
      </c>
      <c r="B8" s="8" t="s">
        <v>551</v>
      </c>
      <c r="C8" s="9">
        <v>56.2</v>
      </c>
      <c r="D8" s="9">
        <v>234.7</v>
      </c>
      <c r="E8" s="9">
        <v>218.5</v>
      </c>
      <c r="F8" s="9">
        <v>219.3</v>
      </c>
      <c r="G8" s="9">
        <v>224.2</v>
      </c>
      <c r="H8" s="9">
        <v>235.2</v>
      </c>
      <c r="I8" s="18">
        <v>243.8</v>
      </c>
    </row>
    <row r="9" spans="1:9">
      <c r="A9" s="8" t="s">
        <v>552</v>
      </c>
      <c r="B9" s="8" t="s">
        <v>553</v>
      </c>
      <c r="C9" s="9">
        <v>9.1</v>
      </c>
      <c r="D9" s="9">
        <v>10.8</v>
      </c>
      <c r="E9" s="9">
        <v>16.2</v>
      </c>
      <c r="F9" s="9">
        <v>19.7</v>
      </c>
      <c r="G9" s="9">
        <v>-21.9</v>
      </c>
      <c r="H9" s="9">
        <v>27.6</v>
      </c>
      <c r="I9" s="18">
        <v>29.8</v>
      </c>
    </row>
    <row r="10" spans="1:9">
      <c r="A10" s="8" t="s">
        <v>554</v>
      </c>
      <c r="B10" s="8" t="s">
        <v>555</v>
      </c>
      <c r="C10" s="9">
        <v>10.199999999999999</v>
      </c>
      <c r="D10" s="9">
        <v>12.1</v>
      </c>
      <c r="E10" s="9">
        <v>13.5</v>
      </c>
      <c r="F10" s="9">
        <v>12.8</v>
      </c>
      <c r="G10" s="9">
        <v>13.8</v>
      </c>
      <c r="H10" s="9">
        <v>15.7</v>
      </c>
      <c r="I10" s="18">
        <v>16.5</v>
      </c>
    </row>
    <row r="11" spans="1:9">
      <c r="A11" s="8" t="s">
        <v>556</v>
      </c>
      <c r="B11" s="8" t="s">
        <v>557</v>
      </c>
      <c r="C11" s="9">
        <v>-8.4</v>
      </c>
      <c r="D11" s="9">
        <v>-0.5</v>
      </c>
      <c r="E11" s="9">
        <v>-8.1</v>
      </c>
      <c r="F11" s="9">
        <v>-0.3</v>
      </c>
      <c r="G11" s="9">
        <v>-10.5</v>
      </c>
      <c r="H11" s="9">
        <v>-9.1</v>
      </c>
      <c r="I11" s="18">
        <v>-9.3999999046325708</v>
      </c>
    </row>
    <row r="12" spans="1:9">
      <c r="A12" s="8" t="s">
        <v>558</v>
      </c>
      <c r="B12" s="8" t="s">
        <v>559</v>
      </c>
      <c r="C12" s="9">
        <v>7.3</v>
      </c>
      <c r="D12" s="9">
        <v>-0.8</v>
      </c>
      <c r="E12" s="9">
        <v>10.8</v>
      </c>
      <c r="F12" s="9">
        <v>7.2</v>
      </c>
      <c r="G12" s="9">
        <v>-25.2</v>
      </c>
      <c r="H12" s="9">
        <v>21</v>
      </c>
      <c r="I12" s="18">
        <v>22.7</v>
      </c>
    </row>
    <row r="13" spans="1:9">
      <c r="A13" s="8" t="s">
        <v>560</v>
      </c>
      <c r="B13" s="8" t="s">
        <v>561</v>
      </c>
      <c r="C13" s="9">
        <v>-13.5</v>
      </c>
      <c r="D13" s="9">
        <v>433.5</v>
      </c>
      <c r="E13" s="9">
        <v>-182.1</v>
      </c>
      <c r="F13" s="9">
        <v>-156.5</v>
      </c>
      <c r="G13" s="9">
        <v>-10.5</v>
      </c>
      <c r="H13" s="9">
        <v>51</v>
      </c>
      <c r="I13" s="18">
        <v>42.9</v>
      </c>
    </row>
    <row r="14" spans="1:9">
      <c r="A14" s="8" t="s">
        <v>562</v>
      </c>
      <c r="B14" s="8" t="s">
        <v>563</v>
      </c>
      <c r="C14" s="9">
        <v>5.9</v>
      </c>
      <c r="D14" s="9">
        <v>146.6</v>
      </c>
      <c r="E14" s="9">
        <v>-199.3</v>
      </c>
      <c r="F14" s="9">
        <v>-197.7</v>
      </c>
      <c r="G14" s="9">
        <v>95.9</v>
      </c>
      <c r="H14" s="9">
        <v>-52.6</v>
      </c>
      <c r="I14" s="18">
        <v>-95.5</v>
      </c>
    </row>
    <row r="15" spans="1:9">
      <c r="A15" s="8" t="s">
        <v>564</v>
      </c>
      <c r="B15" s="8" t="s">
        <v>565</v>
      </c>
      <c r="C15" s="9">
        <v>-19.399999999999999</v>
      </c>
      <c r="D15" s="9">
        <v>286.89999999999998</v>
      </c>
      <c r="E15" s="9">
        <v>17.2</v>
      </c>
      <c r="F15" s="9">
        <v>41.2</v>
      </c>
      <c r="G15" s="9">
        <v>-106.4</v>
      </c>
      <c r="H15" s="9">
        <v>103.6</v>
      </c>
      <c r="I15" s="18">
        <v>138.4</v>
      </c>
    </row>
    <row r="16" spans="1:9">
      <c r="A16" s="8" t="s">
        <v>566</v>
      </c>
      <c r="B16" s="8" t="s">
        <v>567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18">
        <v>0</v>
      </c>
    </row>
    <row r="17" spans="1:9">
      <c r="A17" s="11" t="s">
        <v>547</v>
      </c>
      <c r="B17" s="11" t="s">
        <v>66</v>
      </c>
      <c r="C17" s="14">
        <v>301.60000000000002</v>
      </c>
      <c r="D17" s="14">
        <v>981.3</v>
      </c>
      <c r="E17" s="14">
        <v>558.70000000000005</v>
      </c>
      <c r="F17" s="14">
        <v>627.4</v>
      </c>
      <c r="G17" s="14">
        <v>716.4</v>
      </c>
      <c r="H17" s="14">
        <v>752.6</v>
      </c>
      <c r="I17" s="17">
        <v>776.4</v>
      </c>
    </row>
    <row r="18" spans="1:9">
      <c r="A18" s="11"/>
      <c r="B18" s="12"/>
      <c r="C18" s="12"/>
      <c r="D18" s="12"/>
      <c r="E18" s="12"/>
      <c r="F18" s="12"/>
      <c r="G18" s="12"/>
      <c r="H18" s="12"/>
      <c r="I18" s="30"/>
    </row>
    <row r="19" spans="1:9">
      <c r="A19" s="11" t="s">
        <v>568</v>
      </c>
      <c r="B19" s="12"/>
      <c r="C19" s="12"/>
      <c r="D19" s="12"/>
      <c r="E19" s="12"/>
      <c r="F19" s="12"/>
      <c r="G19" s="12"/>
      <c r="H19" s="12"/>
      <c r="I19" s="30"/>
    </row>
    <row r="20" spans="1:9">
      <c r="A20" s="8" t="s">
        <v>569</v>
      </c>
      <c r="B20" s="8" t="s">
        <v>570</v>
      </c>
      <c r="C20" s="9">
        <v>-59.1</v>
      </c>
      <c r="D20" s="9">
        <v>-43</v>
      </c>
      <c r="E20" s="9">
        <v>-57.7</v>
      </c>
      <c r="F20" s="9">
        <v>-57.4</v>
      </c>
      <c r="G20" s="9">
        <v>-71.7</v>
      </c>
      <c r="H20" s="9">
        <v>-74.400000000000006</v>
      </c>
      <c r="I20" s="18">
        <v>-76.5</v>
      </c>
    </row>
    <row r="21" spans="1:9">
      <c r="A21" s="8" t="s">
        <v>571</v>
      </c>
      <c r="B21" s="8" t="s">
        <v>572</v>
      </c>
      <c r="C21" s="9">
        <v>0.2</v>
      </c>
      <c r="D21" s="9">
        <v>0.1</v>
      </c>
      <c r="E21" s="9">
        <v>0</v>
      </c>
      <c r="F21" s="9">
        <v>0.2</v>
      </c>
      <c r="G21" s="9">
        <v>0.3</v>
      </c>
      <c r="H21" s="9">
        <v>0.1</v>
      </c>
      <c r="I21" s="18">
        <v>0</v>
      </c>
    </row>
    <row r="22" spans="1:9">
      <c r="A22" s="15" t="s">
        <v>573</v>
      </c>
      <c r="B22" s="15" t="s">
        <v>574</v>
      </c>
      <c r="C22" s="16">
        <v>0.2</v>
      </c>
      <c r="D22" s="16">
        <v>0.1</v>
      </c>
      <c r="E22" s="16">
        <v>0</v>
      </c>
      <c r="F22" s="16">
        <v>0.2</v>
      </c>
      <c r="G22" s="16">
        <v>0.3</v>
      </c>
      <c r="H22" s="16">
        <v>0.1</v>
      </c>
      <c r="I22" s="19">
        <v>0</v>
      </c>
    </row>
    <row r="23" spans="1:9">
      <c r="A23" s="15" t="s">
        <v>575</v>
      </c>
      <c r="B23" s="15" t="s">
        <v>576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9">
        <v>0</v>
      </c>
    </row>
    <row r="24" spans="1:9">
      <c r="A24" s="8" t="s">
        <v>577</v>
      </c>
      <c r="B24" s="8" t="s">
        <v>578</v>
      </c>
      <c r="C24" s="9">
        <v>-59.3</v>
      </c>
      <c r="D24" s="9">
        <v>-43.1</v>
      </c>
      <c r="E24" s="9">
        <v>-57.7</v>
      </c>
      <c r="F24" s="9">
        <v>-57.6</v>
      </c>
      <c r="G24" s="9">
        <v>-72</v>
      </c>
      <c r="H24" s="9">
        <v>-74.5</v>
      </c>
      <c r="I24" s="18">
        <v>-76.5</v>
      </c>
    </row>
    <row r="25" spans="1:9">
      <c r="A25" s="15" t="s">
        <v>579</v>
      </c>
      <c r="B25" s="15" t="s">
        <v>580</v>
      </c>
      <c r="C25" s="16">
        <v>-59.3</v>
      </c>
      <c r="D25" s="16">
        <v>-43.1</v>
      </c>
      <c r="E25" s="16">
        <v>-57.7</v>
      </c>
      <c r="F25" s="16">
        <v>-57.6</v>
      </c>
      <c r="G25" s="16">
        <v>-72</v>
      </c>
      <c r="H25" s="16">
        <v>-74.5</v>
      </c>
      <c r="I25" s="19">
        <v>-76.5</v>
      </c>
    </row>
    <row r="26" spans="1:9">
      <c r="A26" s="15" t="s">
        <v>581</v>
      </c>
      <c r="B26" s="15" t="s">
        <v>582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9">
        <v>0</v>
      </c>
    </row>
    <row r="27" spans="1:9">
      <c r="A27" s="8" t="s">
        <v>583</v>
      </c>
      <c r="B27" s="8" t="s">
        <v>584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18">
        <v>0</v>
      </c>
    </row>
    <row r="28" spans="1:9">
      <c r="A28" s="8" t="s">
        <v>585</v>
      </c>
      <c r="B28" s="8" t="s">
        <v>586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18">
        <v>0</v>
      </c>
    </row>
    <row r="29" spans="1:9">
      <c r="A29" s="8" t="s">
        <v>587</v>
      </c>
      <c r="B29" s="8" t="s">
        <v>588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18">
        <v>0</v>
      </c>
    </row>
    <row r="30" spans="1:9">
      <c r="A30" s="8" t="s">
        <v>589</v>
      </c>
      <c r="B30" s="8" t="s">
        <v>590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18">
        <v>0</v>
      </c>
    </row>
    <row r="31" spans="1:9">
      <c r="A31" s="8" t="s">
        <v>591</v>
      </c>
      <c r="B31" s="8" t="s">
        <v>592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18">
        <v>0</v>
      </c>
    </row>
    <row r="32" spans="1:9">
      <c r="A32" s="8" t="s">
        <v>593</v>
      </c>
      <c r="B32" s="8" t="s">
        <v>594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18">
        <v>0</v>
      </c>
    </row>
    <row r="33" spans="1:9">
      <c r="A33" s="8" t="s">
        <v>595</v>
      </c>
      <c r="B33" s="8" t="s">
        <v>596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18">
        <v>0</v>
      </c>
    </row>
    <row r="34" spans="1:9">
      <c r="A34" s="8" t="s">
        <v>597</v>
      </c>
      <c r="B34" s="8" t="s">
        <v>598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18">
        <v>-41</v>
      </c>
    </row>
    <row r="35" spans="1:9">
      <c r="A35" s="8" t="s">
        <v>566</v>
      </c>
      <c r="B35" s="8" t="s">
        <v>599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18">
        <v>0</v>
      </c>
    </row>
    <row r="36" spans="1:9">
      <c r="A36" s="11" t="s">
        <v>568</v>
      </c>
      <c r="B36" s="11" t="s">
        <v>600</v>
      </c>
      <c r="C36" s="14">
        <v>-59.1</v>
      </c>
      <c r="D36" s="14">
        <v>-43</v>
      </c>
      <c r="E36" s="14">
        <v>-57.7</v>
      </c>
      <c r="F36" s="14">
        <v>-57.4</v>
      </c>
      <c r="G36" s="14">
        <v>-71.7</v>
      </c>
      <c r="H36" s="14">
        <v>-74.400000000000006</v>
      </c>
      <c r="I36" s="17">
        <v>-117.499999237061</v>
      </c>
    </row>
    <row r="37" spans="1:9">
      <c r="A37" s="11"/>
      <c r="B37" s="12"/>
      <c r="C37" s="12"/>
      <c r="D37" s="12"/>
      <c r="E37" s="12"/>
      <c r="F37" s="12"/>
      <c r="G37" s="12"/>
      <c r="H37" s="12"/>
      <c r="I37" s="30"/>
    </row>
    <row r="38" spans="1:9">
      <c r="A38" s="11" t="s">
        <v>601</v>
      </c>
      <c r="B38" s="12"/>
      <c r="C38" s="12"/>
      <c r="D38" s="12"/>
      <c r="E38" s="12"/>
      <c r="F38" s="12"/>
      <c r="G38" s="12"/>
      <c r="H38" s="12"/>
      <c r="I38" s="30"/>
    </row>
    <row r="39" spans="1:9">
      <c r="A39" s="8" t="s">
        <v>602</v>
      </c>
      <c r="B39" s="8" t="s">
        <v>603</v>
      </c>
      <c r="C39" s="9">
        <v>-157.4</v>
      </c>
      <c r="D39" s="9">
        <v>-172.3</v>
      </c>
      <c r="E39" s="9">
        <v>-310.2</v>
      </c>
      <c r="F39" s="9">
        <v>-310.2</v>
      </c>
      <c r="G39" s="9">
        <v>-382.7</v>
      </c>
      <c r="H39" s="9">
        <v>-298.5</v>
      </c>
      <c r="I39" s="18">
        <v>-372.90000305175801</v>
      </c>
    </row>
    <row r="40" spans="1:9">
      <c r="A40" s="8" t="s">
        <v>604</v>
      </c>
      <c r="B40" s="8" t="s">
        <v>605</v>
      </c>
      <c r="C40" s="9">
        <v>-30.5</v>
      </c>
      <c r="D40" s="9">
        <v>-601.79999999999995</v>
      </c>
      <c r="E40" s="9">
        <v>-168.9</v>
      </c>
      <c r="F40" s="9">
        <v>-178.2</v>
      </c>
      <c r="G40" s="9">
        <v>-192.8</v>
      </c>
      <c r="H40" s="9">
        <v>-222.4</v>
      </c>
      <c r="I40" s="18">
        <v>-196.6</v>
      </c>
    </row>
    <row r="41" spans="1:9">
      <c r="A41" s="8" t="s">
        <v>606</v>
      </c>
      <c r="B41" s="8" t="s">
        <v>607</v>
      </c>
      <c r="C41" s="9" t="s">
        <v>333</v>
      </c>
      <c r="D41" s="9" t="s">
        <v>333</v>
      </c>
      <c r="E41" s="9" t="s">
        <v>333</v>
      </c>
      <c r="F41" s="9" t="s">
        <v>333</v>
      </c>
      <c r="G41" s="9" t="s">
        <v>333</v>
      </c>
      <c r="H41" s="9" t="s">
        <v>333</v>
      </c>
      <c r="I41" s="18"/>
    </row>
    <row r="42" spans="1:9">
      <c r="A42" s="8" t="s">
        <v>608</v>
      </c>
      <c r="B42" s="8" t="s">
        <v>609</v>
      </c>
      <c r="C42" s="9" t="s">
        <v>333</v>
      </c>
      <c r="D42" s="9" t="s">
        <v>333</v>
      </c>
      <c r="E42" s="9" t="s">
        <v>333</v>
      </c>
      <c r="F42" s="9" t="s">
        <v>333</v>
      </c>
      <c r="G42" s="9" t="s">
        <v>333</v>
      </c>
      <c r="H42" s="9" t="s">
        <v>333</v>
      </c>
      <c r="I42" s="18"/>
    </row>
    <row r="43" spans="1:9">
      <c r="A43" s="8" t="s">
        <v>610</v>
      </c>
      <c r="B43" s="8" t="s">
        <v>611</v>
      </c>
      <c r="C43" s="9" t="s">
        <v>333</v>
      </c>
      <c r="D43" s="9" t="s">
        <v>333</v>
      </c>
      <c r="E43" s="9" t="s">
        <v>333</v>
      </c>
      <c r="F43" s="9" t="s">
        <v>333</v>
      </c>
      <c r="G43" s="9" t="s">
        <v>333</v>
      </c>
      <c r="H43" s="9" t="s">
        <v>333</v>
      </c>
      <c r="I43" s="18"/>
    </row>
    <row r="44" spans="1:9">
      <c r="A44" s="8" t="s">
        <v>612</v>
      </c>
      <c r="B44" s="8" t="s">
        <v>613</v>
      </c>
      <c r="C44" s="9">
        <v>-6.9</v>
      </c>
      <c r="D44" s="9">
        <v>-31.6</v>
      </c>
      <c r="E44" s="9">
        <v>-10.199999999999999</v>
      </c>
      <c r="F44" s="9">
        <v>-28.2</v>
      </c>
      <c r="G44" s="9">
        <v>-17.600000000000001</v>
      </c>
      <c r="H44" s="9">
        <v>-17</v>
      </c>
      <c r="I44" s="18">
        <v>-20.9</v>
      </c>
    </row>
    <row r="45" spans="1:9">
      <c r="A45" s="8" t="s">
        <v>614</v>
      </c>
      <c r="B45" s="8" t="s">
        <v>615</v>
      </c>
      <c r="C45" s="9">
        <v>1.9</v>
      </c>
      <c r="D45" s="9">
        <v>1.3</v>
      </c>
      <c r="E45" s="9">
        <v>0</v>
      </c>
      <c r="F45" s="9">
        <v>0</v>
      </c>
      <c r="G45" s="9">
        <v>0</v>
      </c>
      <c r="H45" s="9">
        <v>0</v>
      </c>
      <c r="I45" s="18">
        <v>0</v>
      </c>
    </row>
    <row r="46" spans="1:9">
      <c r="A46" s="8" t="s">
        <v>616</v>
      </c>
      <c r="B46" s="8" t="s">
        <v>617</v>
      </c>
      <c r="C46" s="9">
        <v>-8.8000000000000007</v>
      </c>
      <c r="D46" s="9">
        <v>-32.9</v>
      </c>
      <c r="E46" s="9">
        <v>-10.199999999999999</v>
      </c>
      <c r="F46" s="9">
        <v>-28.2</v>
      </c>
      <c r="G46" s="9">
        <v>-17.600000000000001</v>
      </c>
      <c r="H46" s="9">
        <v>-17</v>
      </c>
      <c r="I46" s="18">
        <v>-20.9</v>
      </c>
    </row>
    <row r="47" spans="1:9">
      <c r="A47" s="8" t="s">
        <v>618</v>
      </c>
      <c r="B47" s="8" t="s">
        <v>619</v>
      </c>
      <c r="C47" s="9">
        <v>-0.6</v>
      </c>
      <c r="D47" s="9">
        <v>-0.1</v>
      </c>
      <c r="E47" s="9">
        <v>0</v>
      </c>
      <c r="F47" s="9">
        <v>-190.6</v>
      </c>
      <c r="G47" s="9">
        <v>0</v>
      </c>
      <c r="H47" s="9">
        <v>0</v>
      </c>
      <c r="I47" s="18">
        <v>0</v>
      </c>
    </row>
    <row r="48" spans="1:9">
      <c r="A48" s="8" t="s">
        <v>566</v>
      </c>
      <c r="B48" s="8" t="s">
        <v>620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18">
        <v>0</v>
      </c>
    </row>
    <row r="49" spans="1:9">
      <c r="A49" s="11" t="s">
        <v>601</v>
      </c>
      <c r="B49" s="11" t="s">
        <v>621</v>
      </c>
      <c r="C49" s="14">
        <v>-195.4</v>
      </c>
      <c r="D49" s="14">
        <v>-805.8</v>
      </c>
      <c r="E49" s="14">
        <v>-489.3</v>
      </c>
      <c r="F49" s="14">
        <v>-707.2</v>
      </c>
      <c r="G49" s="14">
        <v>-593.1</v>
      </c>
      <c r="H49" s="14">
        <v>-537.9</v>
      </c>
      <c r="I49" s="17">
        <v>-590.4</v>
      </c>
    </row>
    <row r="50" spans="1:9">
      <c r="A50" s="11"/>
      <c r="B50" s="12"/>
      <c r="C50" s="12"/>
      <c r="D50" s="12"/>
      <c r="E50" s="12"/>
      <c r="F50" s="12"/>
      <c r="G50" s="12"/>
      <c r="H50" s="12"/>
      <c r="I50" s="30"/>
    </row>
    <row r="51" spans="1:9">
      <c r="A51" s="8" t="s">
        <v>622</v>
      </c>
      <c r="B51" s="8" t="s">
        <v>623</v>
      </c>
      <c r="C51" s="9">
        <v>0.1</v>
      </c>
      <c r="D51" s="9">
        <v>-0.2</v>
      </c>
      <c r="E51" s="9">
        <v>0</v>
      </c>
      <c r="F51" s="9">
        <v>-0.4</v>
      </c>
      <c r="G51" s="9">
        <v>0.1</v>
      </c>
      <c r="H51" s="9">
        <v>0.1</v>
      </c>
      <c r="I51" s="18">
        <v>-0.1</v>
      </c>
    </row>
    <row r="52" spans="1:9">
      <c r="A52" s="11"/>
      <c r="B52" s="12"/>
      <c r="C52" s="12"/>
      <c r="D52" s="12"/>
      <c r="E52" s="12"/>
      <c r="F52" s="12"/>
      <c r="G52" s="12"/>
      <c r="H52" s="12"/>
      <c r="I52" s="30"/>
    </row>
    <row r="53" spans="1:9">
      <c r="A53" s="11" t="s">
        <v>73</v>
      </c>
      <c r="B53" s="11" t="s">
        <v>74</v>
      </c>
      <c r="C53" s="14">
        <v>47.2</v>
      </c>
      <c r="D53" s="14">
        <v>132.30000000000001</v>
      </c>
      <c r="E53" s="14">
        <v>11.7</v>
      </c>
      <c r="F53" s="14">
        <v>-137.6</v>
      </c>
      <c r="G53" s="14">
        <v>51.7</v>
      </c>
      <c r="H53" s="14">
        <v>140.4</v>
      </c>
      <c r="I53" s="17">
        <v>68.399996948242205</v>
      </c>
    </row>
    <row r="54" spans="1:9">
      <c r="A54" s="11"/>
      <c r="B54" s="12"/>
      <c r="C54" s="12"/>
      <c r="D54" s="12"/>
      <c r="E54" s="12"/>
      <c r="F54" s="12"/>
      <c r="G54" s="12"/>
      <c r="H54" s="12"/>
      <c r="I54" s="30"/>
    </row>
    <row r="55" spans="1:9">
      <c r="A55" s="11" t="s">
        <v>624</v>
      </c>
      <c r="B55" s="11" t="s">
        <v>625</v>
      </c>
      <c r="C55" s="14">
        <v>116.4</v>
      </c>
      <c r="D55" s="14">
        <v>118.2</v>
      </c>
      <c r="E55" s="14">
        <v>158.69999999999999</v>
      </c>
      <c r="F55" s="14">
        <v>264.39999999999998</v>
      </c>
      <c r="G55" s="14">
        <v>282.5</v>
      </c>
      <c r="H55" s="14">
        <v>177.7</v>
      </c>
      <c r="I55" s="17">
        <v>206.59999694824199</v>
      </c>
    </row>
    <row r="56" spans="1:9">
      <c r="A56" s="11" t="s">
        <v>626</v>
      </c>
      <c r="B56" s="11" t="s">
        <v>627</v>
      </c>
      <c r="C56" s="14" t="s">
        <v>333</v>
      </c>
      <c r="D56" s="14">
        <v>24.9</v>
      </c>
      <c r="E56" s="14">
        <v>21.3</v>
      </c>
      <c r="F56" s="14">
        <v>18.7</v>
      </c>
      <c r="G56" s="14">
        <v>21.9</v>
      </c>
      <c r="H56" s="14">
        <v>29.2</v>
      </c>
      <c r="I56" s="17">
        <v>32.100000190734903</v>
      </c>
    </row>
    <row r="57" spans="1:9">
      <c r="A57" s="11"/>
      <c r="B57" s="12"/>
      <c r="C57" s="12"/>
      <c r="D57" s="12"/>
      <c r="E57" s="12"/>
      <c r="F57" s="12"/>
      <c r="G57" s="12"/>
      <c r="H57" s="12"/>
      <c r="I57" s="30"/>
    </row>
    <row r="58" spans="1:9">
      <c r="A58" s="11" t="s">
        <v>522</v>
      </c>
      <c r="B58" s="12"/>
      <c r="C58" s="12"/>
      <c r="D58" s="12"/>
      <c r="E58" s="12"/>
      <c r="F58" s="12"/>
      <c r="G58" s="12"/>
      <c r="H58" s="12"/>
      <c r="I58" s="30"/>
    </row>
    <row r="59" spans="1:9">
      <c r="A59" s="8" t="s">
        <v>34</v>
      </c>
      <c r="B59" s="8" t="s">
        <v>34</v>
      </c>
      <c r="C59" s="9">
        <v>429.1</v>
      </c>
      <c r="D59" s="9">
        <v>718</v>
      </c>
      <c r="E59" s="9">
        <v>961.6</v>
      </c>
      <c r="F59" s="9">
        <v>1013.9</v>
      </c>
      <c r="G59" s="9">
        <v>993.2</v>
      </c>
      <c r="H59" s="9">
        <v>882.4</v>
      </c>
      <c r="I59" s="18">
        <v>924.2</v>
      </c>
    </row>
    <row r="60" spans="1:9">
      <c r="A60" s="8" t="s">
        <v>35</v>
      </c>
      <c r="B60" s="8" t="s">
        <v>36</v>
      </c>
      <c r="C60" s="10">
        <v>6.0476999999999999</v>
      </c>
      <c r="D60" s="10">
        <v>9.0669000000000004</v>
      </c>
      <c r="E60" s="10">
        <v>10.785</v>
      </c>
      <c r="F60" s="10">
        <v>10.9825</v>
      </c>
      <c r="G60" s="10">
        <v>10.317500000000001</v>
      </c>
      <c r="H60" s="10">
        <v>9.1989000000000001</v>
      </c>
      <c r="I60" s="21">
        <v>9.1498609007296494</v>
      </c>
    </row>
    <row r="61" spans="1:9">
      <c r="A61" s="8" t="s">
        <v>628</v>
      </c>
      <c r="B61" s="8" t="s">
        <v>629</v>
      </c>
      <c r="C61" s="9">
        <v>0.7</v>
      </c>
      <c r="D61" s="9">
        <v>1.1000000000000001</v>
      </c>
      <c r="E61" s="9">
        <v>1.6</v>
      </c>
      <c r="F61" s="9">
        <v>0.8</v>
      </c>
      <c r="G61" s="9">
        <v>4.4000000000000004</v>
      </c>
      <c r="H61" s="9">
        <v>11.2</v>
      </c>
      <c r="I61" s="18">
        <v>12.4999998092651</v>
      </c>
    </row>
    <row r="62" spans="1:9">
      <c r="A62" s="8" t="s">
        <v>630</v>
      </c>
      <c r="B62" s="8" t="s">
        <v>631</v>
      </c>
      <c r="C62" s="9" t="s">
        <v>333</v>
      </c>
      <c r="D62" s="9" t="s">
        <v>333</v>
      </c>
      <c r="E62" s="9" t="s">
        <v>333</v>
      </c>
      <c r="F62" s="9" t="s">
        <v>333</v>
      </c>
      <c r="G62" s="9" t="s">
        <v>333</v>
      </c>
      <c r="H62" s="9">
        <v>0</v>
      </c>
      <c r="I62" s="18">
        <v>0</v>
      </c>
    </row>
    <row r="63" spans="1:9">
      <c r="A63" s="8" t="s">
        <v>69</v>
      </c>
      <c r="B63" s="8" t="s">
        <v>70</v>
      </c>
      <c r="C63" s="9">
        <v>242.3</v>
      </c>
      <c r="D63" s="9">
        <v>938.2</v>
      </c>
      <c r="E63" s="9">
        <v>501</v>
      </c>
      <c r="F63" s="9">
        <v>569.79999999999995</v>
      </c>
      <c r="G63" s="9">
        <v>644.4</v>
      </c>
      <c r="H63" s="9">
        <v>678.1</v>
      </c>
      <c r="I63" s="18">
        <v>699.9</v>
      </c>
    </row>
    <row r="64" spans="1:9">
      <c r="A64" s="8" t="s">
        <v>632</v>
      </c>
      <c r="B64" s="8" t="s">
        <v>633</v>
      </c>
      <c r="C64" s="9">
        <v>252.0334</v>
      </c>
      <c r="D64" s="9">
        <v>961.41229999999996</v>
      </c>
      <c r="E64" s="9">
        <v>518.36199999999997</v>
      </c>
      <c r="F64" s="9">
        <v>583.92679999999996</v>
      </c>
      <c r="G64" s="9">
        <v>662.86739999999998</v>
      </c>
      <c r="H64" s="9">
        <v>699.78120000000001</v>
      </c>
      <c r="I64" s="18">
        <v>723.57023502166805</v>
      </c>
    </row>
    <row r="65" spans="1:9">
      <c r="A65" s="8" t="s">
        <v>634</v>
      </c>
      <c r="B65" s="8" t="s">
        <v>635</v>
      </c>
      <c r="C65" s="9">
        <v>212</v>
      </c>
      <c r="D65" s="9">
        <v>336.5</v>
      </c>
      <c r="E65" s="9">
        <v>332.1</v>
      </c>
      <c r="F65" s="9">
        <v>391.8</v>
      </c>
      <c r="G65" s="9">
        <v>451.9</v>
      </c>
      <c r="H65" s="9">
        <v>455.8</v>
      </c>
      <c r="I65" s="18">
        <v>503.3</v>
      </c>
    </row>
    <row r="66" spans="1:9">
      <c r="A66" s="8" t="s">
        <v>71</v>
      </c>
      <c r="B66" s="8" t="s">
        <v>72</v>
      </c>
      <c r="C66" s="10">
        <v>2.1088</v>
      </c>
      <c r="D66" s="10">
        <v>8.1654</v>
      </c>
      <c r="E66" s="10">
        <v>4.3640999999999996</v>
      </c>
      <c r="F66" s="10">
        <v>5.0114000000000001</v>
      </c>
      <c r="G66" s="10">
        <v>5.8956999999999997</v>
      </c>
      <c r="H66" s="10">
        <v>6.2039999999999997</v>
      </c>
      <c r="I66" s="21">
        <v>6.4034766697163796</v>
      </c>
    </row>
    <row r="67" spans="1:9">
      <c r="A67" s="8" t="s">
        <v>636</v>
      </c>
      <c r="B67" s="8" t="s">
        <v>637</v>
      </c>
      <c r="C67" s="10">
        <v>12.2582</v>
      </c>
      <c r="D67" s="10">
        <v>5.2698</v>
      </c>
      <c r="E67" s="10">
        <v>11.59</v>
      </c>
      <c r="F67" s="10">
        <v>7.6745000000000001</v>
      </c>
      <c r="G67" s="10">
        <v>7.4207000000000001</v>
      </c>
      <c r="H67" s="10">
        <v>9.8661999999999992</v>
      </c>
      <c r="I67" s="21">
        <v>13.701931370924401</v>
      </c>
    </row>
    <row r="68" spans="1:9">
      <c r="A68" s="8" t="s">
        <v>638</v>
      </c>
      <c r="B68" s="8" t="s">
        <v>639</v>
      </c>
      <c r="C68" s="10">
        <v>1.2074</v>
      </c>
      <c r="D68" s="10">
        <v>3.2461000000000002</v>
      </c>
      <c r="E68" s="10">
        <v>1.1039000000000001</v>
      </c>
      <c r="F68" s="10">
        <v>1.1514</v>
      </c>
      <c r="G68" s="10">
        <v>1.3655999999999999</v>
      </c>
      <c r="H68" s="10">
        <v>1.7151000000000001</v>
      </c>
      <c r="I68" s="21">
        <v>2.2971268395234801</v>
      </c>
    </row>
    <row r="69" spans="1:9">
      <c r="A69" s="26"/>
      <c r="B69" s="26"/>
      <c r="C69" s="26"/>
      <c r="D69" s="26"/>
      <c r="E69" s="26"/>
      <c r="F69" s="26"/>
      <c r="G69" s="26"/>
      <c r="H69" s="26"/>
    </row>
    <row r="70" spans="1:9"/>
    <row r="71" spans="1:9">
      <c r="A71" s="10"/>
    </row>
    <row r="74" spans="1:9" hidden="1">
      <c r="A74" s="9"/>
    </row>
    <row r="75" spans="1:9" hidden="1">
      <c r="A75" s="9"/>
    </row>
    <row r="76" spans="1:9" hidden="1">
      <c r="A76" s="14"/>
    </row>
    <row r="77" spans="1:9" hidden="1">
      <c r="A77" s="14"/>
    </row>
    <row r="78" spans="1:9" hidden="1">
      <c r="A78" s="14"/>
    </row>
  </sheetData>
  <phoneticPr fontId="1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4EB5A-AEC8-4EEF-B6D0-E1454FC9E946}">
  <sheetPr>
    <tabColor rgb="FFFF0000"/>
  </sheetPr>
  <dimension ref="A1:P84"/>
  <sheetViews>
    <sheetView tabSelected="1" topLeftCell="A37" zoomScale="90" zoomScaleNormal="90" workbookViewId="0">
      <selection activeCell="A77" sqref="A77"/>
    </sheetView>
  </sheetViews>
  <sheetFormatPr defaultColWidth="0" defaultRowHeight="15" zeroHeight="1"/>
  <cols>
    <col min="1" max="1" width="71.140625" bestFit="1" customWidth="1"/>
    <col min="2" max="2" width="49.5703125" customWidth="1"/>
    <col min="3" max="7" width="11" bestFit="1" customWidth="1"/>
    <col min="8" max="12" width="19" bestFit="1" customWidth="1"/>
    <col min="13" max="13" width="12" customWidth="1"/>
    <col min="14" max="16" width="0" hidden="1" customWidth="1"/>
    <col min="17" max="16384" width="9.140625" hidden="1"/>
  </cols>
  <sheetData>
    <row r="1" spans="1:12"/>
    <row r="2" spans="1:1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20.25">
      <c r="A3" s="2" t="s">
        <v>640</v>
      </c>
      <c r="B3" s="2"/>
      <c r="C3" s="2"/>
      <c r="D3" s="2"/>
      <c r="E3" s="2"/>
      <c r="F3" s="2"/>
      <c r="G3" s="2"/>
      <c r="H3" s="2"/>
      <c r="I3" s="2"/>
      <c r="J3" s="1"/>
      <c r="K3" s="1"/>
      <c r="L3" s="1"/>
    </row>
    <row r="4" spans="1:12">
      <c r="A4" s="4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39" t="s">
        <v>641</v>
      </c>
      <c r="I4" s="39" t="s">
        <v>642</v>
      </c>
      <c r="J4" s="39" t="s">
        <v>643</v>
      </c>
      <c r="K4" s="39" t="s">
        <v>644</v>
      </c>
      <c r="L4" s="39" t="s">
        <v>645</v>
      </c>
    </row>
    <row r="5" spans="1:12">
      <c r="A5" s="6" t="s">
        <v>11</v>
      </c>
      <c r="B5" s="7" t="s">
        <v>12</v>
      </c>
      <c r="C5" s="7" t="s">
        <v>13</v>
      </c>
      <c r="D5" s="7" t="s">
        <v>14</v>
      </c>
      <c r="E5" s="7" t="s">
        <v>15</v>
      </c>
      <c r="F5" s="7" t="s">
        <v>16</v>
      </c>
      <c r="G5" s="7" t="s">
        <v>17</v>
      </c>
      <c r="H5" s="40" t="s">
        <v>19</v>
      </c>
      <c r="I5" s="40" t="s">
        <v>20</v>
      </c>
      <c r="J5" s="40" t="s">
        <v>646</v>
      </c>
      <c r="K5" s="40" t="s">
        <v>647</v>
      </c>
      <c r="L5" s="40" t="s">
        <v>648</v>
      </c>
    </row>
    <row r="6" spans="1:12">
      <c r="A6" s="12"/>
      <c r="B6" s="12"/>
      <c r="C6" s="12"/>
      <c r="D6" s="12"/>
      <c r="E6" s="12"/>
      <c r="F6" s="12"/>
      <c r="G6" s="46"/>
    </row>
    <row r="7" spans="1:12">
      <c r="A7" s="8" t="s">
        <v>548</v>
      </c>
      <c r="B7" s="9">
        <v>249.8</v>
      </c>
      <c r="C7" s="9">
        <v>302.3</v>
      </c>
      <c r="D7" s="9">
        <v>506.1</v>
      </c>
      <c r="E7" s="9">
        <v>544.9</v>
      </c>
      <c r="F7" s="9">
        <v>524.6</v>
      </c>
      <c r="G7" s="9">
        <v>438.8</v>
      </c>
    </row>
    <row r="8" spans="1:12">
      <c r="A8" s="8" t="s">
        <v>550</v>
      </c>
      <c r="B8" s="9">
        <v>56.2</v>
      </c>
      <c r="C8" s="9">
        <v>234.7</v>
      </c>
      <c r="D8" s="9">
        <v>218.5</v>
      </c>
      <c r="E8" s="9">
        <v>219.3</v>
      </c>
      <c r="F8" s="9">
        <v>224.2</v>
      </c>
      <c r="G8" s="9">
        <v>235.2</v>
      </c>
    </row>
    <row r="9" spans="1:12">
      <c r="A9" s="8" t="s">
        <v>552</v>
      </c>
      <c r="B9" s="9">
        <v>9.1</v>
      </c>
      <c r="C9" s="9">
        <v>10.8</v>
      </c>
      <c r="D9" s="9">
        <v>16.2</v>
      </c>
      <c r="E9" s="9">
        <v>19.7</v>
      </c>
      <c r="F9" s="9">
        <v>-21.9</v>
      </c>
      <c r="G9" s="9">
        <v>27.6</v>
      </c>
      <c r="H9" s="9">
        <v>10.3</v>
      </c>
      <c r="I9" s="9">
        <v>10.3</v>
      </c>
      <c r="J9" s="9">
        <v>10.3</v>
      </c>
      <c r="K9" s="9">
        <v>10.3</v>
      </c>
      <c r="L9" s="9">
        <v>10.3</v>
      </c>
    </row>
    <row r="10" spans="1:12">
      <c r="A10" s="8" t="s">
        <v>560</v>
      </c>
      <c r="B10" s="9">
        <v>-13.5</v>
      </c>
      <c r="C10" s="9">
        <v>433.5</v>
      </c>
      <c r="D10" s="9">
        <v>-182.1</v>
      </c>
      <c r="E10" s="9">
        <v>-156.5</v>
      </c>
      <c r="F10" s="9">
        <v>-10.5</v>
      </c>
      <c r="G10" s="9">
        <v>51</v>
      </c>
    </row>
    <row r="11" spans="1:12">
      <c r="A11" s="43" t="s">
        <v>566</v>
      </c>
      <c r="B11" s="42">
        <v>0</v>
      </c>
      <c r="C11" s="41">
        <v>0</v>
      </c>
      <c r="D11" s="41">
        <v>0</v>
      </c>
      <c r="E11" s="41">
        <v>0</v>
      </c>
      <c r="F11" s="41">
        <v>0</v>
      </c>
      <c r="G11" s="41">
        <v>0</v>
      </c>
    </row>
    <row r="12" spans="1:12">
      <c r="A12" s="49" t="s">
        <v>547</v>
      </c>
      <c r="B12" s="50">
        <v>301.60000000000002</v>
      </c>
      <c r="C12" s="50">
        <v>981.3</v>
      </c>
      <c r="D12" s="50">
        <v>558.70000000000005</v>
      </c>
      <c r="E12" s="50">
        <v>627.4</v>
      </c>
      <c r="F12" s="50">
        <v>716.4</v>
      </c>
      <c r="G12" s="50">
        <v>752.6</v>
      </c>
      <c r="H12" t="e">
        <f ca="1" xml:space="preserve"> H42*(1 - H37) + H38 + 10.3 - H47</f>
        <v>#NAME?</v>
      </c>
      <c r="I12" t="e">
        <f ca="1" xml:space="preserve"> I42*(1 - I37) + I38 + 10.3 - I47</f>
        <v>#NAME?</v>
      </c>
      <c r="J12" t="e">
        <f ca="1" xml:space="preserve"> J42*(1 - J37) + J38 + 10.3 - J47</f>
        <v>#NAME?</v>
      </c>
      <c r="K12" t="e">
        <f ca="1" xml:space="preserve"> K42*(1 - K37) + K38 + 10.3 - K47</f>
        <v>#NAME?</v>
      </c>
      <c r="L12" t="e">
        <f ca="1" xml:space="preserve"> L42*(1 - L37) + L38 + 10.3 - L47</f>
        <v>#NAME?</v>
      </c>
    </row>
    <row r="13" spans="1:12">
      <c r="A13" s="11"/>
      <c r="B13" s="14"/>
      <c r="C13" s="14"/>
      <c r="D13" s="14"/>
      <c r="E13" s="14"/>
      <c r="F13" s="14"/>
      <c r="G13" s="14"/>
    </row>
    <row r="14" spans="1:12">
      <c r="A14" s="8" t="s">
        <v>649</v>
      </c>
      <c r="B14" s="9">
        <v>-59.1</v>
      </c>
      <c r="C14" s="9">
        <v>-43</v>
      </c>
      <c r="D14" s="9">
        <v>-57.7</v>
      </c>
      <c r="E14" s="9">
        <v>-57.4</v>
      </c>
      <c r="F14" s="9">
        <v>-71.7</v>
      </c>
      <c r="G14" s="9">
        <v>-74.400000000000006</v>
      </c>
    </row>
    <row r="15" spans="1:12">
      <c r="A15" s="8" t="s">
        <v>583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</row>
    <row r="16" spans="1:12">
      <c r="A16" s="8" t="s">
        <v>589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</row>
    <row r="17" spans="1:7">
      <c r="A17" s="8" t="s">
        <v>597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</row>
    <row r="18" spans="1:7">
      <c r="A18" s="8" t="s">
        <v>566</v>
      </c>
      <c r="B18" s="41">
        <v>0</v>
      </c>
      <c r="C18" s="41">
        <v>0</v>
      </c>
      <c r="D18" s="41">
        <v>0</v>
      </c>
      <c r="E18" s="41">
        <v>0</v>
      </c>
      <c r="F18" s="41">
        <v>0</v>
      </c>
      <c r="G18" s="41">
        <v>0</v>
      </c>
    </row>
    <row r="19" spans="1:7">
      <c r="A19" s="49" t="s">
        <v>568</v>
      </c>
      <c r="B19" s="50">
        <v>-59.1</v>
      </c>
      <c r="C19" s="50">
        <v>-43</v>
      </c>
      <c r="D19" s="50">
        <v>-57.7</v>
      </c>
      <c r="E19" s="50">
        <v>-57.4</v>
      </c>
      <c r="F19" s="50">
        <v>-71.7</v>
      </c>
      <c r="G19" s="50">
        <v>-74.400000000000006</v>
      </c>
    </row>
    <row r="20" spans="1:7">
      <c r="A20" s="12"/>
      <c r="B20" s="12"/>
      <c r="C20" s="12"/>
      <c r="D20" s="12"/>
      <c r="E20" s="12"/>
      <c r="F20" s="12"/>
    </row>
    <row r="21" spans="1:7">
      <c r="A21" s="8" t="s">
        <v>602</v>
      </c>
      <c r="B21" s="9">
        <v>-157.4</v>
      </c>
      <c r="C21" s="9">
        <v>-172.3</v>
      </c>
      <c r="D21" s="9">
        <v>-310.2</v>
      </c>
      <c r="E21" s="9">
        <v>-310.2</v>
      </c>
      <c r="F21" s="9">
        <v>-382.7</v>
      </c>
      <c r="G21" s="9">
        <v>-298.5</v>
      </c>
    </row>
    <row r="22" spans="1:7">
      <c r="A22" s="8" t="s">
        <v>604</v>
      </c>
      <c r="B22" s="9">
        <v>-30.5</v>
      </c>
      <c r="C22" s="9">
        <v>-601.79999999999995</v>
      </c>
      <c r="D22" s="9">
        <v>-168.9</v>
      </c>
      <c r="E22" s="9">
        <v>-178.2</v>
      </c>
      <c r="F22" s="9">
        <v>-192.8</v>
      </c>
      <c r="G22" s="9">
        <v>-222.4</v>
      </c>
    </row>
    <row r="23" spans="1:7">
      <c r="A23" s="8" t="s">
        <v>612</v>
      </c>
      <c r="B23" s="9">
        <v>-6.9</v>
      </c>
      <c r="C23" s="9">
        <v>-31.6</v>
      </c>
      <c r="D23" s="9">
        <v>-10.199999999999999</v>
      </c>
      <c r="E23" s="9">
        <v>-28.2</v>
      </c>
      <c r="F23" s="9">
        <v>-17.600000000000001</v>
      </c>
      <c r="G23" s="9">
        <v>-17</v>
      </c>
    </row>
    <row r="24" spans="1:7">
      <c r="A24" s="8" t="s">
        <v>618</v>
      </c>
      <c r="B24" s="9">
        <v>-0.6</v>
      </c>
      <c r="C24" s="9">
        <v>-0.1</v>
      </c>
      <c r="D24" s="9">
        <v>0</v>
      </c>
      <c r="E24" s="9">
        <v>-190.6</v>
      </c>
      <c r="F24" s="9">
        <v>0</v>
      </c>
      <c r="G24" s="9">
        <v>0</v>
      </c>
    </row>
    <row r="25" spans="1:7">
      <c r="A25" s="8" t="s">
        <v>566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</row>
    <row r="26" spans="1:7">
      <c r="A26" s="49" t="s">
        <v>601</v>
      </c>
      <c r="B26" s="50">
        <v>-195.4</v>
      </c>
      <c r="C26" s="50">
        <v>-805.8</v>
      </c>
      <c r="D26" s="50">
        <v>-489.3</v>
      </c>
      <c r="E26" s="50">
        <v>-707.2</v>
      </c>
      <c r="F26" s="50">
        <v>-593.1</v>
      </c>
      <c r="G26" s="50">
        <v>-537.9</v>
      </c>
    </row>
    <row r="27" spans="1:7">
      <c r="A27" s="45"/>
      <c r="B27" s="48"/>
      <c r="C27" s="48"/>
      <c r="D27" s="48"/>
      <c r="E27" s="48"/>
      <c r="F27" s="48"/>
      <c r="G27" s="48"/>
    </row>
    <row r="28" spans="1:7" ht="15.75" thickBot="1">
      <c r="A28" s="47" t="s">
        <v>73</v>
      </c>
      <c r="B28" s="44">
        <v>47.2</v>
      </c>
      <c r="C28" s="44">
        <v>132.30000000000001</v>
      </c>
      <c r="D28" s="44">
        <v>11.7</v>
      </c>
      <c r="E28" s="44">
        <v>-137.6</v>
      </c>
      <c r="F28" s="44">
        <v>51.7</v>
      </c>
      <c r="G28" s="44">
        <v>140.4</v>
      </c>
    </row>
    <row r="29" spans="1:7" ht="15.75" thickTop="1"/>
    <row r="30" spans="1:7">
      <c r="A30" t="s">
        <v>650</v>
      </c>
    </row>
    <row r="31" spans="1:7">
      <c r="A31" s="8" t="s">
        <v>651</v>
      </c>
      <c r="B31" s="10">
        <v>65.332300000000004</v>
      </c>
      <c r="C31" s="10">
        <v>71.816100000000006</v>
      </c>
      <c r="D31" s="10">
        <v>65.145200000000003</v>
      </c>
      <c r="E31" s="10">
        <v>65.0762</v>
      </c>
      <c r="F31" s="10">
        <v>65.021000000000001</v>
      </c>
      <c r="G31" s="10">
        <v>84.981800000000007</v>
      </c>
    </row>
    <row r="32" spans="1:7"/>
    <row r="33" spans="1:16" s="51" customFormat="1">
      <c r="A33" s="51" t="s">
        <v>652</v>
      </c>
      <c r="B33" s="51" t="s">
        <v>653</v>
      </c>
      <c r="C33" s="51" t="s">
        <v>654</v>
      </c>
      <c r="D33" s="51" t="s">
        <v>655</v>
      </c>
      <c r="E33" s="51" t="s">
        <v>656</v>
      </c>
      <c r="F33" s="51" t="s">
        <v>657</v>
      </c>
      <c r="G33" s="51" t="s">
        <v>658</v>
      </c>
      <c r="H33" s="51" t="s">
        <v>659</v>
      </c>
      <c r="I33" s="51" t="s">
        <v>660</v>
      </c>
      <c r="J33" s="51" t="s">
        <v>661</v>
      </c>
      <c r="K33" s="51" t="s">
        <v>662</v>
      </c>
      <c r="L33" s="51" t="s">
        <v>663</v>
      </c>
      <c r="M33" s="51" t="s">
        <v>664</v>
      </c>
    </row>
    <row r="34" spans="1:16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</row>
    <row r="35" spans="1:16">
      <c r="A35" s="76" t="s">
        <v>366</v>
      </c>
      <c r="B35" s="77">
        <v>359.3</v>
      </c>
      <c r="C35" s="77">
        <v>448</v>
      </c>
      <c r="D35" s="77">
        <v>720</v>
      </c>
      <c r="E35" s="77">
        <v>775.3</v>
      </c>
      <c r="F35" s="77">
        <v>747.1</v>
      </c>
      <c r="G35" s="77">
        <v>627.4</v>
      </c>
      <c r="H35" s="78"/>
      <c r="I35" s="77"/>
      <c r="J35" s="77"/>
      <c r="K35" s="77"/>
      <c r="L35" s="67"/>
    </row>
    <row r="36" spans="1:16" s="52" customFormat="1">
      <c r="A36" s="68" t="s">
        <v>367</v>
      </c>
      <c r="B36" s="69">
        <v>109.5</v>
      </c>
      <c r="C36" s="69">
        <v>145.69999999999999</v>
      </c>
      <c r="D36" s="69">
        <v>213.9</v>
      </c>
      <c r="E36" s="69">
        <v>230.4</v>
      </c>
      <c r="F36" s="69">
        <v>222.5</v>
      </c>
      <c r="G36" s="69">
        <v>188.6</v>
      </c>
      <c r="H36" s="67"/>
      <c r="I36" s="67"/>
      <c r="J36" s="67"/>
      <c r="K36" s="67"/>
      <c r="L36" s="67"/>
      <c r="M36"/>
      <c r="N36" s="53"/>
      <c r="O36" s="53"/>
      <c r="P36" s="53"/>
    </row>
    <row r="37" spans="1:16" s="52" customFormat="1">
      <c r="A37" s="59" t="s">
        <v>665</v>
      </c>
      <c r="B37" s="59"/>
      <c r="C37" s="60"/>
      <c r="D37" s="60">
        <f>32.5223/100</f>
        <v>0.32522300000000004</v>
      </c>
      <c r="E37" s="60"/>
      <c r="F37" s="60">
        <f>29.7175/100</f>
        <v>0.29717500000000002</v>
      </c>
      <c r="G37" s="60"/>
      <c r="H37" s="60">
        <f t="shared" ref="H37:L37" si="0">29.7818/100</f>
        <v>0.29781800000000003</v>
      </c>
      <c r="I37" s="60">
        <f t="shared" si="0"/>
        <v>0.29781800000000003</v>
      </c>
      <c r="J37" s="60">
        <f t="shared" si="0"/>
        <v>0.29781800000000003</v>
      </c>
      <c r="K37" s="60">
        <f t="shared" si="0"/>
        <v>0.29781800000000003</v>
      </c>
      <c r="L37" s="60">
        <f t="shared" si="0"/>
        <v>0.29781800000000003</v>
      </c>
      <c r="M37" s="53"/>
      <c r="N37" s="53"/>
      <c r="O37" s="53"/>
      <c r="P37" s="53"/>
    </row>
    <row r="38" spans="1:16" s="52" customFormat="1">
      <c r="A38" s="59" t="s">
        <v>666</v>
      </c>
      <c r="B38" s="61">
        <v>56.2</v>
      </c>
      <c r="C38" s="61">
        <v>234.7</v>
      </c>
      <c r="D38" s="61">
        <v>218.5</v>
      </c>
      <c r="E38" s="61">
        <v>219.3</v>
      </c>
      <c r="F38" s="61">
        <v>224.2</v>
      </c>
      <c r="G38" s="61">
        <v>235.2</v>
      </c>
      <c r="H38" s="59">
        <f>G38*1.01</f>
        <v>237.55199999999999</v>
      </c>
      <c r="I38" s="59">
        <f t="shared" ref="I38:L38" si="1">H38*1.01</f>
        <v>239.92751999999999</v>
      </c>
      <c r="J38" s="59">
        <f t="shared" si="1"/>
        <v>242.32679519999999</v>
      </c>
      <c r="K38" s="59">
        <f t="shared" si="1"/>
        <v>244.750063152</v>
      </c>
      <c r="L38" s="59">
        <f t="shared" si="1"/>
        <v>247.19756378352</v>
      </c>
      <c r="M38" s="53"/>
      <c r="N38" s="53"/>
      <c r="O38" s="53"/>
      <c r="P38" s="53"/>
    </row>
    <row r="39" spans="1:16" s="52" customFormat="1">
      <c r="A39" s="59" t="s">
        <v>667</v>
      </c>
      <c r="B39" s="59"/>
      <c r="C39" s="61">
        <f>(D38-C38)/C38</f>
        <v>-6.9024286322965436E-2</v>
      </c>
      <c r="D39" s="61">
        <f t="shared" ref="D39:F39" si="2">(E38-D38)/D38</f>
        <v>3.6613272311213337E-3</v>
      </c>
      <c r="E39" s="61">
        <f t="shared" si="2"/>
        <v>2.23438212494299E-2</v>
      </c>
      <c r="F39" s="61">
        <f t="shared" si="2"/>
        <v>4.906333630686887E-2</v>
      </c>
      <c r="G39" s="61">
        <f>(H36-G38)/G38</f>
        <v>-1</v>
      </c>
      <c r="H39" s="59"/>
      <c r="I39" s="59"/>
      <c r="J39" s="59"/>
      <c r="K39" s="59"/>
      <c r="L39" s="59"/>
      <c r="M39" s="53"/>
      <c r="N39" s="53"/>
      <c r="O39" s="53"/>
      <c r="P39" s="53"/>
    </row>
    <row r="40" spans="1:16" s="52" customFormat="1">
      <c r="A40" s="59" t="s">
        <v>668</v>
      </c>
      <c r="B40" s="61">
        <v>-59.3</v>
      </c>
      <c r="C40" s="61">
        <v>-43.1</v>
      </c>
      <c r="D40" s="61">
        <v>-57.7</v>
      </c>
      <c r="E40" s="61">
        <v>-57.6</v>
      </c>
      <c r="F40" s="61">
        <v>-72</v>
      </c>
      <c r="G40" s="61">
        <v>-74.5</v>
      </c>
      <c r="H40" s="59">
        <f>G40*(1+B59)</f>
        <v>-69.306619364701987</v>
      </c>
      <c r="I40" s="59">
        <f t="shared" ref="I40:L40" si="3">H40*1.02</f>
        <v>-70.692751751996028</v>
      </c>
      <c r="J40" s="59">
        <f t="shared" si="3"/>
        <v>-72.106606787035943</v>
      </c>
      <c r="K40" s="59">
        <f t="shared" si="3"/>
        <v>-73.548738922776664</v>
      </c>
      <c r="L40" s="59">
        <f t="shared" si="3"/>
        <v>-75.019713701232192</v>
      </c>
      <c r="M40" s="53"/>
      <c r="N40" s="53"/>
      <c r="O40" s="53"/>
      <c r="P40" s="53"/>
    </row>
    <row r="41" spans="1:16" s="52" customFormat="1">
      <c r="A41" s="59" t="s">
        <v>669</v>
      </c>
      <c r="B41" s="59"/>
      <c r="C41" s="61">
        <f>(ABS(D40) - ABS(C40)) / ABS(C40)</f>
        <v>0.33874709976798145</v>
      </c>
      <c r="D41" s="61">
        <f t="shared" ref="D41:F41" si="4">(ABS(E40) - ABS(D40)) / ABS(D40)</f>
        <v>-1.7331022530329536E-3</v>
      </c>
      <c r="E41" s="61">
        <f t="shared" si="4"/>
        <v>0.24999999999999997</v>
      </c>
      <c r="F41" s="61">
        <f t="shared" si="4"/>
        <v>3.4722222222222224E-2</v>
      </c>
      <c r="G41" s="61">
        <f>(ABS(H38) - ABS(G40)) / ABS(G40)</f>
        <v>2.1886174496644295</v>
      </c>
      <c r="H41" s="59"/>
      <c r="I41" s="59"/>
      <c r="J41" s="59"/>
      <c r="K41" s="59"/>
      <c r="L41" s="59"/>
      <c r="M41" s="53"/>
      <c r="N41" s="53"/>
      <c r="O41" s="53"/>
      <c r="P41" s="53"/>
    </row>
    <row r="42" spans="1:16" s="52" customFormat="1">
      <c r="A42" s="59" t="s">
        <v>670</v>
      </c>
      <c r="B42" s="62">
        <v>384.3</v>
      </c>
      <c r="C42" s="62">
        <v>502.9</v>
      </c>
      <c r="D42" s="62">
        <v>756.9</v>
      </c>
      <c r="E42" s="62">
        <v>802.7</v>
      </c>
      <c r="F42" s="62">
        <v>773.6</v>
      </c>
      <c r="G42" s="62">
        <v>654.5</v>
      </c>
      <c r="H42" s="63" t="e">
        <f ca="1">G42*(1+B52)</f>
        <v>#NAME?</v>
      </c>
      <c r="I42" s="63" t="e">
        <f ca="1">H42*(1+B52)</f>
        <v>#NAME?</v>
      </c>
      <c r="J42" s="63" t="e">
        <f ca="1">I42*(1+B52)</f>
        <v>#NAME?</v>
      </c>
      <c r="K42" s="63" t="e">
        <f ca="1">J42*(1+B52)</f>
        <v>#NAME?</v>
      </c>
      <c r="L42" s="63" t="e">
        <f ca="1">K42*(1+B52)</f>
        <v>#NAME?</v>
      </c>
      <c r="M42" s="53"/>
      <c r="N42" s="53"/>
      <c r="O42" s="53"/>
      <c r="P42" s="53"/>
    </row>
    <row r="43" spans="1:16" s="52" customFormat="1">
      <c r="A43" s="59" t="s">
        <v>671</v>
      </c>
      <c r="B43" s="59"/>
      <c r="C43" s="62">
        <f>(D42-C42)/C42</f>
        <v>0.50507059057466697</v>
      </c>
      <c r="D43" s="62">
        <f t="shared" ref="D43:F43" si="5">(E42-D42)/D42</f>
        <v>6.0509974897608759E-2</v>
      </c>
      <c r="E43" s="62">
        <f t="shared" si="5"/>
        <v>-3.6252647315310853E-2</v>
      </c>
      <c r="F43" s="62">
        <f t="shared" si="5"/>
        <v>-0.15395553257497419</v>
      </c>
      <c r="G43" s="62">
        <f>(H40-G42)/G42</f>
        <v>-1.105892466561806</v>
      </c>
      <c r="H43" s="59"/>
      <c r="I43" s="59"/>
      <c r="J43" s="59"/>
      <c r="K43" s="59"/>
      <c r="L43" s="59"/>
      <c r="M43" s="53"/>
      <c r="N43" s="53"/>
      <c r="O43" s="53"/>
      <c r="P43" s="53"/>
    </row>
    <row r="44" spans="1:16" s="52" customFormat="1">
      <c r="A44" s="64" t="s">
        <v>423</v>
      </c>
      <c r="B44" s="62" t="e">
        <f ca="1">_xll.BDH("JBH AU Equity","BS_CUR_ASSET_REPORT","FY 2019","FY 2019","Currency=AUD","Period=FY","BEST_FPERIOD_OVERRIDE=FY","FILING_STATUS=MR","SCALING_FORMAT=MLN","Sort=A","Dates=H","DateFormat=P","Fill=—","Direction=H","UseDPDF=Y")</f>
        <v>#NAME?</v>
      </c>
      <c r="C44" s="62" t="e">
        <f ca="1">_xll.BDH("JBH AU Equity","BS_CUR_ASSET_REPORT","FY 2020","FY 2020","Currency=AUD","Period=FY","BEST_FPERIOD_OVERRIDE=FY","FILING_STATUS=MR","SCALING_FORMAT=MLN","Sort=A","Dates=H","DateFormat=P","Fill=—","Direction=H","UseDPDF=Y")</f>
        <v>#NAME?</v>
      </c>
      <c r="D44" s="62" t="e">
        <f ca="1">_xll.BDH("JBH AU Equity","BS_CUR_ASSET_REPORT","FY 2021","FY 2021","Currency=AUD","Period=FY","BEST_FPERIOD_OVERRIDE=FY","FILING_STATUS=MR","SCALING_FORMAT=MLN","Sort=A","Dates=H","DateFormat=P","Fill=—","Direction=H","UseDPDF=Y")</f>
        <v>#NAME?</v>
      </c>
      <c r="E44" s="62" t="e">
        <f ca="1">_xll.BDH("JBH AU Equity","BS_CUR_ASSET_REPORT","FY 2022","FY 2022","Currency=AUD","Period=FY","BEST_FPERIOD_OVERRIDE=FY","FILING_STATUS=MR","SCALING_FORMAT=MLN","Sort=A","Dates=H","DateFormat=P","Fill=—","Direction=H","UseDPDF=Y")</f>
        <v>#NAME?</v>
      </c>
      <c r="F44" s="62" t="e">
        <f ca="1">_xll.BDH("JBH AU Equity","BS_CUR_ASSET_REPORT","FY 2023","FY 2023","Currency=AUD","Period=FY","BEST_FPERIOD_OVERRIDE=FY","FILING_STATUS=MR","SCALING_FORMAT=MLN","Sort=A","Dates=H","DateFormat=P","Fill=—","Direction=H","UseDPDF=Y")</f>
        <v>#NAME?</v>
      </c>
      <c r="G44" s="62" t="e">
        <f ca="1">_xll.BDH("JBH AU Equity","BS_CUR_ASSET_REPORT","FY 2024","FY 2024","Currency=AUD","Period=FY","BEST_FPERIOD_OVERRIDE=FY","FILING_STATUS=MR","SCALING_FORMAT=MLN","Sort=A","Dates=H","DateFormat=P","Fill=—","Direction=H","UseDPDF=Y")</f>
        <v>#NAME?</v>
      </c>
      <c r="H44" s="59" t="e">
        <f ca="1">G44*(1+B55)</f>
        <v>#NAME?</v>
      </c>
      <c r="I44" s="59" t="e">
        <f ca="1">H44*(1+B55)</f>
        <v>#NAME?</v>
      </c>
      <c r="J44" s="59" t="e">
        <f ca="1">I44*(1+B55)</f>
        <v>#NAME?</v>
      </c>
      <c r="K44" s="59" t="e">
        <f ca="1">J44*(1+B55)</f>
        <v>#NAME?</v>
      </c>
      <c r="L44" s="59" t="e">
        <f ca="1">K44*(1+B55)</f>
        <v>#NAME?</v>
      </c>
      <c r="M44" s="53"/>
      <c r="N44" s="53"/>
      <c r="O44" s="53"/>
      <c r="P44" s="53"/>
    </row>
    <row r="45" spans="1:16" s="52" customFormat="1">
      <c r="A45" s="59" t="s">
        <v>672</v>
      </c>
      <c r="B45" s="62" t="e">
        <f ca="1">_xll.BDH("JBH AU Equity","BS_CUR_LIAB","FY 2019","FY 2019","Currency=AUD","Period=FY","BEST_FPERIOD_OVERRIDE=FY","FILING_STATUS=MR","SCALING_FORMAT=MLN","Sort=A","Dates=H","DateFormat=P","Fill=—","Direction=H","UseDPDF=Y")</f>
        <v>#NAME?</v>
      </c>
      <c r="C45" s="62" t="e">
        <f ca="1">_xll.BDH("JBH AU Equity","BS_CUR_LIAB","FY 2020","FY 2020","Currency=AUD","Period=FY","BEST_FPERIOD_OVERRIDE=FY","FILING_STATUS=MR","SCALING_FORMAT=MLN","Sort=A","Dates=H","DateFormat=P","Fill=—","Direction=H","UseDPDF=Y")</f>
        <v>#NAME?</v>
      </c>
      <c r="D45" s="62" t="e">
        <f ca="1">_xll.BDH("JBH AU Equity","BS_CUR_LIAB","FY 2021","FY 2021","Currency=AUD","Period=FY","BEST_FPERIOD_OVERRIDE=FY","FILING_STATUS=MR","SCALING_FORMAT=MLN","Sort=A","Dates=H","DateFormat=P","Fill=—","Direction=H","UseDPDF=Y")</f>
        <v>#NAME?</v>
      </c>
      <c r="E45" s="62" t="e">
        <f ca="1">_xll.BDH("JBH AU Equity","BS_CUR_LIAB","FY 2022","FY 2022","Currency=AUD","Period=FY","BEST_FPERIOD_OVERRIDE=FY","FILING_STATUS=MR","SCALING_FORMAT=MLN","Sort=A","Dates=H","DateFormat=P","Fill=—","Direction=H","UseDPDF=Y")</f>
        <v>#NAME?</v>
      </c>
      <c r="F45" s="62" t="e">
        <f ca="1">_xll.BDH("JBH AU Equity","BS_CUR_LIAB","FY 2023","FY 2023","Currency=AUD","Period=FY","BEST_FPERIOD_OVERRIDE=FY","FILING_STATUS=MR","SCALING_FORMAT=MLN","Sort=A","Dates=H","DateFormat=P","Fill=—","Direction=H","UseDPDF=Y")</f>
        <v>#NAME?</v>
      </c>
      <c r="G45" s="62" t="e">
        <f ca="1">_xll.BDH("JBH AU Equity","BS_CUR_LIAB","FY 2024","FY 2024","Currency=AUD","Period=FY","BEST_FPERIOD_OVERRIDE=FY","FILING_STATUS=MR","SCALING_FORMAT=MLN","Sort=A","Dates=H","DateFormat=P","Fill=—","Direction=H","UseDPDF=Y")</f>
        <v>#NAME?</v>
      </c>
      <c r="H45" s="63" t="e">
        <f ca="1">G45*(1+B57)</f>
        <v>#NAME?</v>
      </c>
      <c r="I45" s="63" t="e">
        <f ca="1">H45*(1+B57)</f>
        <v>#NAME?</v>
      </c>
      <c r="J45" s="63" t="e">
        <f ca="1">I45*(1+B57)</f>
        <v>#NAME?</v>
      </c>
      <c r="K45" s="63" t="e">
        <f ca="1">J45*(1+B57)</f>
        <v>#NAME?</v>
      </c>
      <c r="L45" s="63" t="e">
        <f ca="1">K45*(1+B57)</f>
        <v>#NAME?</v>
      </c>
      <c r="M45" s="53"/>
      <c r="N45" s="53"/>
      <c r="O45" s="53"/>
      <c r="P45" s="53"/>
    </row>
    <row r="46" spans="1:16" s="52" customFormat="1">
      <c r="A46" s="59" t="s">
        <v>673</v>
      </c>
      <c r="B46" s="65" t="e">
        <f ca="1">B44-B45</f>
        <v>#NAME?</v>
      </c>
      <c r="C46" s="63" t="e">
        <f ca="1">C44-C45</f>
        <v>#NAME?</v>
      </c>
      <c r="D46" s="63" t="e">
        <f t="shared" ref="D46:F46" ca="1" si="6">D44-D45</f>
        <v>#NAME?</v>
      </c>
      <c r="E46" s="63" t="e">
        <f t="shared" ca="1" si="6"/>
        <v>#NAME?</v>
      </c>
      <c r="F46" s="63" t="e">
        <f t="shared" ca="1" si="6"/>
        <v>#NAME?</v>
      </c>
      <c r="G46" s="63" t="e">
        <f ca="1">G44-G45</f>
        <v>#NAME?</v>
      </c>
      <c r="H46" s="63" t="e">
        <f t="shared" ref="H46:L46" ca="1" si="7">H44-H45</f>
        <v>#NAME?</v>
      </c>
      <c r="I46" s="63" t="e">
        <f t="shared" ca="1" si="7"/>
        <v>#NAME?</v>
      </c>
      <c r="J46" s="63" t="e">
        <f t="shared" ca="1" si="7"/>
        <v>#NAME?</v>
      </c>
      <c r="K46" s="63" t="e">
        <f t="shared" ca="1" si="7"/>
        <v>#NAME?</v>
      </c>
      <c r="L46" s="63" t="e">
        <f t="shared" ca="1" si="7"/>
        <v>#NAME?</v>
      </c>
      <c r="M46" s="53"/>
      <c r="N46" s="53"/>
      <c r="O46" s="53"/>
      <c r="P46" s="53"/>
    </row>
    <row r="47" spans="1:16" s="52" customFormat="1">
      <c r="A47" s="59" t="s">
        <v>674</v>
      </c>
      <c r="B47" s="59"/>
      <c r="C47" s="63" t="e">
        <f ca="1">C46-B46</f>
        <v>#NAME?</v>
      </c>
      <c r="D47" s="63" t="e">
        <f t="shared" ref="D47:F47" ca="1" si="8">D46-C46</f>
        <v>#NAME?</v>
      </c>
      <c r="E47" s="63" t="e">
        <f t="shared" ca="1" si="8"/>
        <v>#NAME?</v>
      </c>
      <c r="F47" s="63" t="e">
        <f t="shared" ca="1" si="8"/>
        <v>#NAME?</v>
      </c>
      <c r="G47" s="63" t="e">
        <f ca="1">G46-F46</f>
        <v>#NAME?</v>
      </c>
      <c r="H47" s="63" t="e">
        <f t="shared" ref="H47:L47" ca="1" si="9">H46-G46</f>
        <v>#NAME?</v>
      </c>
      <c r="I47" s="63" t="e">
        <f t="shared" ca="1" si="9"/>
        <v>#NAME?</v>
      </c>
      <c r="J47" s="63" t="e">
        <f t="shared" ca="1" si="9"/>
        <v>#NAME?</v>
      </c>
      <c r="K47" s="63" t="e">
        <f t="shared" ca="1" si="9"/>
        <v>#NAME?</v>
      </c>
      <c r="L47" s="63" t="e">
        <f t="shared" ca="1" si="9"/>
        <v>#NAME?</v>
      </c>
      <c r="M47" s="53"/>
      <c r="N47" s="53"/>
      <c r="O47" s="53"/>
      <c r="P47" s="53"/>
    </row>
    <row r="48" spans="1:16" s="52" customFormat="1">
      <c r="A48" s="66" t="s">
        <v>34</v>
      </c>
      <c r="B48" s="61">
        <v>429.1</v>
      </c>
      <c r="C48" s="61">
        <v>718</v>
      </c>
      <c r="D48" s="61">
        <v>961.6</v>
      </c>
      <c r="E48" s="61">
        <v>1013.9</v>
      </c>
      <c r="F48" s="61">
        <v>993.2</v>
      </c>
      <c r="G48" s="61">
        <v>882.4</v>
      </c>
      <c r="H48" s="59"/>
      <c r="I48" s="59"/>
      <c r="J48" s="59"/>
      <c r="K48" s="59"/>
      <c r="L48" s="59"/>
      <c r="M48" s="53"/>
      <c r="N48" s="53"/>
      <c r="O48" s="53"/>
      <c r="P48" s="53"/>
    </row>
    <row r="49" spans="1:16" s="52" customFormat="1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3"/>
      <c r="N49" s="53"/>
      <c r="O49" s="53"/>
      <c r="P49" s="53"/>
    </row>
    <row r="50" spans="1:16" s="52" customFormat="1">
      <c r="A50" s="66" t="s">
        <v>552</v>
      </c>
      <c r="B50" s="61">
        <v>9.1</v>
      </c>
      <c r="C50" s="61">
        <v>10.8</v>
      </c>
      <c r="D50" s="61">
        <v>16.2</v>
      </c>
      <c r="E50" s="61">
        <v>19.7</v>
      </c>
      <c r="F50" s="61">
        <v>-21.9</v>
      </c>
      <c r="G50" s="61">
        <v>27.6</v>
      </c>
      <c r="H50" s="59"/>
      <c r="I50" s="59"/>
      <c r="J50" s="59"/>
      <c r="K50" s="59"/>
      <c r="L50" s="59"/>
      <c r="M50" s="53"/>
      <c r="N50" s="53"/>
      <c r="O50" s="53"/>
      <c r="P50" s="53"/>
    </row>
    <row r="51" spans="1:16" s="52" customFormat="1">
      <c r="A51" s="59" t="s">
        <v>675</v>
      </c>
      <c r="B51" s="63">
        <f>AVERAGE(B50:G50)</f>
        <v>10.25</v>
      </c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3"/>
      <c r="N51" s="53"/>
      <c r="O51" s="53"/>
      <c r="P51" s="53"/>
    </row>
    <row r="52" spans="1:16" s="52" customFormat="1">
      <c r="A52" s="59" t="s">
        <v>676</v>
      </c>
      <c r="B52" s="59" t="e">
        <f ca="1">(G44/B44)^(1/5)-1</f>
        <v>#NAME?</v>
      </c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3"/>
      <c r="N52" s="53"/>
      <c r="O52" s="53"/>
      <c r="P52" s="53"/>
    </row>
    <row r="53" spans="1:16" s="52" customFormat="1">
      <c r="A53" s="59" t="s">
        <v>677</v>
      </c>
      <c r="B53" s="59" t="e">
        <f ca="1">(G45/B45)^(1/5)-1</f>
        <v>#NAME?</v>
      </c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3"/>
      <c r="N53" s="53"/>
      <c r="O53" s="53"/>
      <c r="P53" s="53"/>
    </row>
    <row r="54" spans="1:16" s="52" customFormat="1">
      <c r="A54" s="59" t="s">
        <v>678</v>
      </c>
      <c r="B54" s="59"/>
      <c r="C54" s="59" t="e">
        <f ca="1">(C44-B44)/B44</f>
        <v>#NAME?</v>
      </c>
      <c r="D54" s="59" t="e">
        <f t="shared" ref="D54:G54" ca="1" si="10">(D44-C44)/C44</f>
        <v>#NAME?</v>
      </c>
      <c r="E54" s="59" t="e">
        <f t="shared" ca="1" si="10"/>
        <v>#NAME?</v>
      </c>
      <c r="F54" s="59" t="e">
        <f t="shared" ca="1" si="10"/>
        <v>#NAME?</v>
      </c>
      <c r="G54" s="59" t="e">
        <f t="shared" ca="1" si="10"/>
        <v>#NAME?</v>
      </c>
      <c r="H54" s="59" t="e">
        <f ca="1">AVERAGE(C54:G54)</f>
        <v>#NAME?</v>
      </c>
      <c r="I54" s="59"/>
      <c r="J54" s="59"/>
      <c r="K54" s="59"/>
      <c r="L54" s="59"/>
      <c r="M54" s="53"/>
      <c r="N54" s="53"/>
      <c r="O54" s="53"/>
      <c r="P54" s="53"/>
    </row>
    <row r="55" spans="1:16" s="52" customFormat="1">
      <c r="A55" s="59" t="s">
        <v>679</v>
      </c>
      <c r="B55" s="59">
        <v>4.4853417542757006E-2</v>
      </c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3"/>
      <c r="N55" s="53"/>
      <c r="O55" s="53"/>
      <c r="P55" s="53"/>
    </row>
    <row r="56" spans="1:16" s="52" customFormat="1">
      <c r="A56" s="59" t="s">
        <v>680</v>
      </c>
      <c r="B56" s="59"/>
      <c r="C56" s="59" t="e">
        <f ca="1">(C45-B45)/B45</f>
        <v>#NAME?</v>
      </c>
      <c r="D56" s="59" t="e">
        <f t="shared" ref="D56:G56" ca="1" si="11">(D45-C45)/C45</f>
        <v>#NAME?</v>
      </c>
      <c r="E56" s="59" t="e">
        <f t="shared" ca="1" si="11"/>
        <v>#NAME?</v>
      </c>
      <c r="F56" s="59" t="e">
        <f t="shared" ca="1" si="11"/>
        <v>#NAME?</v>
      </c>
      <c r="G56" s="59" t="e">
        <f t="shared" ca="1" si="11"/>
        <v>#NAME?</v>
      </c>
      <c r="H56" s="59" t="e">
        <f ca="1">AVERAGE(C56:G56)</f>
        <v>#NAME?</v>
      </c>
      <c r="I56" s="59"/>
      <c r="J56" s="59"/>
      <c r="K56" s="59"/>
      <c r="L56" s="59"/>
      <c r="M56" s="53"/>
      <c r="N56" s="53"/>
      <c r="O56" s="53"/>
      <c r="P56" s="53"/>
    </row>
    <row r="57" spans="1:16">
      <c r="A57" s="59" t="s">
        <v>679</v>
      </c>
      <c r="B57" s="59">
        <v>8.1525781626943822E-2</v>
      </c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3"/>
      <c r="N57" s="54"/>
      <c r="O57" s="54"/>
      <c r="P57" s="54"/>
    </row>
    <row r="58" spans="1:16">
      <c r="A58" s="67" t="s">
        <v>681</v>
      </c>
      <c r="B58" s="67"/>
      <c r="C58" s="67">
        <f xml:space="preserve"> (ABS(B40) - ABS(C40)) / ABS(B40)</f>
        <v>0.27318718381112977</v>
      </c>
      <c r="D58" s="67">
        <f xml:space="preserve"> (ABS(C40) - ABS(D40)) / ABS(C40)</f>
        <v>-0.33874709976798145</v>
      </c>
      <c r="E58" s="67">
        <f xml:space="preserve"> (ABS(D40) - ABS(E40)) / ABS(D40)</f>
        <v>1.7331022530329536E-3</v>
      </c>
      <c r="F58" s="67">
        <f xml:space="preserve"> (ABS(E40) - ABS(F40)) / ABS(E40)</f>
        <v>-0.24999999999999997</v>
      </c>
      <c r="G58" s="67">
        <f xml:space="preserve"> (ABS(F40) - ABS(G40)) / ABS(F40)</f>
        <v>-3.4722222222222224E-2</v>
      </c>
      <c r="H58" s="67"/>
      <c r="I58" s="67"/>
      <c r="J58" s="67"/>
      <c r="K58" s="67"/>
      <c r="L58" s="67"/>
      <c r="M58" s="54"/>
      <c r="N58" s="54"/>
      <c r="O58" s="54"/>
      <c r="P58" s="54"/>
    </row>
    <row r="59" spans="1:16">
      <c r="A59" s="67" t="s">
        <v>679</v>
      </c>
      <c r="B59" s="67">
        <f>AVERAGE(C58:G58)</f>
        <v>-6.9709807185208181E-2</v>
      </c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54"/>
      <c r="N59" s="54"/>
      <c r="O59" s="54"/>
      <c r="P59" s="54"/>
    </row>
    <row r="60" spans="1:16">
      <c r="A60" s="67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54"/>
      <c r="N60" s="54"/>
      <c r="O60" s="54"/>
      <c r="P60" s="54"/>
    </row>
    <row r="61" spans="1:16">
      <c r="A61" s="67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54"/>
    </row>
    <row r="62" spans="1:16">
      <c r="A62" s="68" t="s">
        <v>30</v>
      </c>
      <c r="B62" s="69">
        <v>2969.7352000000001</v>
      </c>
      <c r="C62" s="69">
        <v>4943.4314999999997</v>
      </c>
      <c r="D62" s="69">
        <v>5810.8010000000004</v>
      </c>
      <c r="E62" s="69">
        <v>4204.9849000000004</v>
      </c>
      <c r="F62" s="69">
        <v>4783.3617000000004</v>
      </c>
      <c r="G62" s="69">
        <v>6692.3329999999996</v>
      </c>
      <c r="H62" s="67"/>
      <c r="I62" s="67"/>
      <c r="J62" s="67"/>
      <c r="K62" s="67"/>
      <c r="L62" s="67"/>
      <c r="M62" s="25"/>
    </row>
    <row r="63" spans="1:16">
      <c r="A63" s="67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25"/>
    </row>
    <row r="64" spans="1:16">
      <c r="A64" s="68" t="s">
        <v>53</v>
      </c>
      <c r="B64" s="69">
        <v>1523.1</v>
      </c>
      <c r="C64" s="69">
        <v>2046.6</v>
      </c>
      <c r="D64" s="69">
        <v>1946.9</v>
      </c>
      <c r="E64" s="69">
        <v>1881.1</v>
      </c>
      <c r="F64" s="69">
        <v>1815.3</v>
      </c>
      <c r="G64" s="69">
        <v>1927.5</v>
      </c>
      <c r="H64" s="67"/>
      <c r="I64" s="67"/>
      <c r="J64" s="67"/>
      <c r="K64" s="67"/>
      <c r="L64" s="67"/>
      <c r="M64" s="25"/>
    </row>
    <row r="65" spans="1:13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25"/>
    </row>
    <row r="66" spans="1:13">
      <c r="A66" s="70" t="s">
        <v>682</v>
      </c>
      <c r="B66" s="71">
        <v>4.4252318840579727</v>
      </c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25"/>
    </row>
    <row r="67" spans="1:13">
      <c r="A67" s="67" t="s">
        <v>683</v>
      </c>
      <c r="B67" s="67">
        <v>1.0644</v>
      </c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25"/>
    </row>
    <row r="68" spans="1:13">
      <c r="A68" s="67" t="s">
        <v>684</v>
      </c>
      <c r="B68" s="72" t="e">
        <f ca="1">_xll.BDH("JBH AU Equity","WACC","FY 2019","FY 2019","Currency=AUD","Period=FY","BEST_FPERIOD_OVERRIDE=FY","FILING_STATUS=MR","Sort=D","Dates=H","DateFormat=P","Fill=—","Direction=H","UseDPDF=Y")</f>
        <v>#NAME?</v>
      </c>
      <c r="C68" s="72" t="e">
        <f ca="1">_xll.BDH("JBH AU Equity","WACC","FY 2020","FY 2020","Currency=AUD","Period=FY","BEST_FPERIOD_OVERRIDE=FY","FILING_STATUS=MR","Sort=D","Dates=H","DateFormat=P","Fill=—","Direction=H","UseDPDF=Y")</f>
        <v>#NAME?</v>
      </c>
      <c r="D68" s="72" t="e">
        <f ca="1">_xll.BDH("JBH AU Equity","WACC","FY 2021","FY 2021","Currency=AUD","Period=FY","BEST_FPERIOD_OVERRIDE=FY","FILING_STATUS=MR","Sort=D","Dates=H","DateFormat=P","Fill=—","Direction=H","UseDPDF=Y")</f>
        <v>#NAME?</v>
      </c>
      <c r="E68" s="72" t="e">
        <f ca="1">_xll.BDH("JBH AU Equity","WACC","FY 2022","FY 2022","Currency=AUD","Period=FY","BEST_FPERIOD_OVERRIDE=FY","FILING_STATUS=MR","Sort=D","Dates=H","DateFormat=P","Fill=—","Direction=H","UseDPDF=Y")</f>
        <v>#NAME?</v>
      </c>
      <c r="F68" s="72" t="e">
        <f ca="1">_xll.BDH("JBH AU Equity","WACC","FY 2023","FY 2023","Currency=AUD","Period=FY","BEST_FPERIOD_OVERRIDE=FY","FILING_STATUS=MR","Sort=D","Dates=H","DateFormat=P","Fill=—","Direction=H","UseDPDF=Y")</f>
        <v>#NAME?</v>
      </c>
      <c r="G68" s="72" t="e">
        <f ca="1">_xll.BDH("JBH AU Equity","WACC","FY 2024","FY 2024","Currency=AUD","Period=FY","BEST_FPERIOD_OVERRIDE=FY","FILING_STATUS=MR","Sort=D","Dates=H","DateFormat=P","Fill=—","Direction=H","UseDPDF=Y")</f>
        <v>#NAME?</v>
      </c>
      <c r="H68" s="67"/>
      <c r="I68" s="67"/>
      <c r="J68" s="67"/>
      <c r="K68" s="67"/>
      <c r="L68" s="67"/>
      <c r="M68" s="25"/>
    </row>
    <row r="69" spans="1:13">
      <c r="A69" s="67" t="s">
        <v>685</v>
      </c>
      <c r="B69" s="73">
        <f>8.44085/100</f>
        <v>8.4408499999999997E-2</v>
      </c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25"/>
    </row>
    <row r="70" spans="1:13">
      <c r="A70" s="67" t="s">
        <v>686</v>
      </c>
      <c r="B70" s="67"/>
      <c r="C70" s="74" t="e">
        <f ca="1">(C68-B68)/B68</f>
        <v>#NAME?</v>
      </c>
      <c r="D70" s="74" t="e">
        <f t="shared" ref="D70:G70" ca="1" si="12">(D68-C68)/C68</f>
        <v>#NAME?</v>
      </c>
      <c r="E70" s="74" t="e">
        <f t="shared" ca="1" si="12"/>
        <v>#NAME?</v>
      </c>
      <c r="F70" s="74" t="e">
        <f t="shared" ca="1" si="12"/>
        <v>#NAME?</v>
      </c>
      <c r="G70" s="74" t="e">
        <f t="shared" ca="1" si="12"/>
        <v>#NAME?</v>
      </c>
      <c r="H70" s="67"/>
      <c r="I70" s="67"/>
      <c r="J70" s="67"/>
      <c r="K70" s="67"/>
      <c r="L70" s="67"/>
      <c r="M70" s="25"/>
    </row>
    <row r="71" spans="1:13">
      <c r="A71" s="67" t="s">
        <v>687</v>
      </c>
      <c r="B71" s="67">
        <v>0.13050019725944187</v>
      </c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25"/>
    </row>
    <row r="72" spans="1:13">
      <c r="A72" s="67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25"/>
    </row>
    <row r="73" spans="1:13">
      <c r="A73" s="67" t="s">
        <v>688</v>
      </c>
      <c r="B73" s="67"/>
      <c r="C73" s="67"/>
      <c r="D73" s="67"/>
      <c r="E73" s="67"/>
      <c r="F73" s="67"/>
      <c r="G73" s="67"/>
      <c r="H73" s="67" t="e">
        <f ca="1" xml:space="preserve"> H12 / (1 + $B$69)^1</f>
        <v>#NAME?</v>
      </c>
      <c r="I73" s="67" t="e">
        <f ca="1" xml:space="preserve"> I12 / (1 + $B$69)^2</f>
        <v>#NAME?</v>
      </c>
      <c r="J73" s="67" t="e">
        <f ca="1" xml:space="preserve"> J12 / (1 + $B$69)^3</f>
        <v>#NAME?</v>
      </c>
      <c r="K73" s="67" t="e">
        <f ca="1" xml:space="preserve"> K12 / (1 + $B$69)^4</f>
        <v>#NAME?</v>
      </c>
      <c r="L73" s="67" t="e">
        <f ca="1" xml:space="preserve"> L12 / (1 + $B$69)^5</f>
        <v>#NAME?</v>
      </c>
      <c r="M73" s="25"/>
    </row>
    <row r="74" spans="1:13">
      <c r="A74" s="67" t="s">
        <v>689</v>
      </c>
      <c r="B74" s="67" t="e">
        <f ca="1">SUM(H73:L73)</f>
        <v>#NAME?</v>
      </c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25"/>
    </row>
    <row r="75" spans="1:13">
      <c r="A75" s="67" t="s">
        <v>690</v>
      </c>
      <c r="B75" s="67">
        <v>0.02</v>
      </c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25"/>
    </row>
    <row r="76" spans="1:13">
      <c r="A76" s="67" t="s">
        <v>691</v>
      </c>
      <c r="B76" s="67"/>
      <c r="C76" s="67"/>
      <c r="D76" s="67"/>
      <c r="E76" s="67"/>
      <c r="F76" s="67"/>
      <c r="G76" s="67"/>
      <c r="H76" s="67" t="e">
        <f ca="1">H12*(1+B75)/(B69-B75)</f>
        <v>#NAME?</v>
      </c>
      <c r="I76" s="67" t="e">
        <f ca="1">I12*(1+B75)/(B69-B75)</f>
        <v>#NAME?</v>
      </c>
      <c r="J76" s="67" t="e">
        <f ca="1">J12*(1+B75)/(B69-B75)</f>
        <v>#NAME?</v>
      </c>
      <c r="K76" s="67" t="e">
        <f ca="1">K12*(1+B75)/(B69-B75)</f>
        <v>#NAME?</v>
      </c>
      <c r="L76" s="67" t="e">
        <f ca="1">L12*(1+B75)/(B69-B75)</f>
        <v>#NAME?</v>
      </c>
      <c r="M76" s="25"/>
    </row>
    <row r="77" spans="1:13">
      <c r="A77" s="67" t="s">
        <v>692</v>
      </c>
      <c r="B77" s="67"/>
      <c r="C77" s="67"/>
      <c r="D77" s="67"/>
      <c r="E77" s="67"/>
      <c r="F77" s="67"/>
      <c r="G77" s="67"/>
      <c r="H77" s="67" t="e">
        <f ca="1">(H76)/(1+B69)^1</f>
        <v>#NAME?</v>
      </c>
      <c r="I77" s="67" t="e">
        <f ca="1">(I76)/(1+B69)^2</f>
        <v>#NAME?</v>
      </c>
      <c r="J77" s="67" t="e">
        <f ca="1">(J76)/(1+B69)^3</f>
        <v>#NAME?</v>
      </c>
      <c r="K77" s="67" t="e">
        <f ca="1">(K76)/(1+B69)^4</f>
        <v>#NAME?</v>
      </c>
      <c r="L77" s="67" t="e">
        <f ca="1">(L76)/(1+B69)^5</f>
        <v>#NAME?</v>
      </c>
      <c r="M77" s="25"/>
    </row>
    <row r="78" spans="1:13">
      <c r="A78" s="67" t="s">
        <v>693</v>
      </c>
      <c r="B78" s="67" t="e">
        <f ca="1">B74+L77</f>
        <v>#NAME?</v>
      </c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25"/>
    </row>
    <row r="79" spans="1:13">
      <c r="A79" s="68" t="s">
        <v>537</v>
      </c>
      <c r="B79" s="69" t="e">
        <f ca="1">_xll.BDH("JBH AU Equity","NET_DEBT","FY 2019","FY 2019","Currency=AUD","Period=FY","BEST_FPERIOD_OVERRIDE=FY","FILING_STATUS=MR","SCALING_FORMAT=MLN","Sort=A","Dates=H","DateFormat=P","Fill=—","Direction=H","UseDPDF=Y")</f>
        <v>#NAME?</v>
      </c>
      <c r="C79" s="69" t="e">
        <f ca="1">_xll.BDH("JBH AU Equity","NET_DEBT","FY 2020","FY 2020","Currency=AUD","Period=FY","BEST_FPERIOD_OVERRIDE=FY","FILING_STATUS=MR","SCALING_FORMAT=MLN","Sort=A","Dates=H","DateFormat=P","Fill=—","Direction=H","UseDPDF=Y")</f>
        <v>#NAME?</v>
      </c>
      <c r="D79" s="69" t="e">
        <f ca="1">_xll.BDH("JBH AU Equity","NET_DEBT","FY 2021","FY 2021","Currency=AUD","Period=FY","BEST_FPERIOD_OVERRIDE=FY","FILING_STATUS=MR","SCALING_FORMAT=MLN","Sort=A","Dates=H","DateFormat=P","Fill=—","Direction=H","UseDPDF=Y")</f>
        <v>#NAME?</v>
      </c>
      <c r="E79" s="69" t="e">
        <f ca="1">_xll.BDH("JBH AU Equity","NET_DEBT","FY 2022","FY 2022","Currency=AUD","Period=FY","BEST_FPERIOD_OVERRIDE=FY","FILING_STATUS=MR","SCALING_FORMAT=MLN","Sort=A","Dates=H","DateFormat=P","Fill=—","Direction=H","UseDPDF=Y")</f>
        <v>#NAME?</v>
      </c>
      <c r="F79" s="69" t="e">
        <f ca="1">_xll.BDH("JBH AU Equity","NET_DEBT","FY 2023","FY 2023","Currency=AUD","Period=FY","BEST_FPERIOD_OVERRIDE=FY","FILING_STATUS=MR","SCALING_FORMAT=MLN","Sort=A","Dates=H","DateFormat=P","Fill=—","Direction=H","UseDPDF=Y")</f>
        <v>#NAME?</v>
      </c>
      <c r="G79" s="69" t="e">
        <f ca="1">_xll.BDH("JBH AU Equity","NET_DEBT","FY 2024","FY 2024","Currency=AUD","Period=FY","BEST_FPERIOD_OVERRIDE=FY","FILING_STATUS=MR","SCALING_FORMAT=MLN","Sort=A","Dates=H","DateFormat=P","Fill=—","Direction=H","UseDPDF=Y")</f>
        <v>#NAME?</v>
      </c>
      <c r="H79" s="69"/>
      <c r="I79" s="67"/>
      <c r="J79" s="67"/>
      <c r="K79" s="67"/>
      <c r="L79" s="67"/>
    </row>
    <row r="80" spans="1:13">
      <c r="A80" s="67" t="s">
        <v>694</v>
      </c>
      <c r="B80" s="67"/>
      <c r="C80" s="67"/>
      <c r="D80" s="67"/>
      <c r="E80" s="67"/>
      <c r="F80" s="67"/>
      <c r="G80" s="67"/>
      <c r="H80" s="79" t="e">
        <f ca="1">B78-G79</f>
        <v>#NAME?</v>
      </c>
      <c r="I80" s="67"/>
      <c r="J80" s="67"/>
      <c r="K80" s="67"/>
      <c r="L80" s="67"/>
    </row>
    <row r="81" spans="1:12">
      <c r="A81" s="67" t="s">
        <v>695</v>
      </c>
      <c r="B81" s="69" t="e">
        <f ca="1">_xll.BDH("JBH AU Equity","BS_SH_OUT","FY 2019","FY 2019","Currency=AUD","Period=FY","BEST_FPERIOD_OVERRIDE=FY","FILING_STATUS=MR","Sort=A","Dates=H","DateFormat=P","Fill=—","Direction=H","UseDPDF=Y")</f>
        <v>#NAME?</v>
      </c>
      <c r="C81" s="69" t="e">
        <f ca="1">_xll.BDH("JBH AU Equity","BS_SH_OUT","FY 2020","FY 2020","Currency=AUD","Period=FY","BEST_FPERIOD_OVERRIDE=FY","FILING_STATUS=MR","Sort=A","Dates=H","DateFormat=P","Fill=—","Direction=H","UseDPDF=Y")</f>
        <v>#NAME?</v>
      </c>
      <c r="D81" s="69" t="e">
        <f ca="1">_xll.BDH("JBH AU Equity","BS_SH_OUT","FY 2021","FY 2021","Currency=AUD","Period=FY","BEST_FPERIOD_OVERRIDE=FY","FILING_STATUS=MR","Sort=A","Dates=H","DateFormat=P","Fill=—","Direction=H","UseDPDF=Y")</f>
        <v>#NAME?</v>
      </c>
      <c r="E81" s="69" t="e">
        <f ca="1">_xll.BDH("JBH AU Equity","BS_SH_OUT","FY 2022","FY 2022","Currency=AUD","Period=FY","BEST_FPERIOD_OVERRIDE=FY","FILING_STATUS=MR","Sort=A","Dates=H","DateFormat=P","Fill=—","Direction=H","UseDPDF=Y")</f>
        <v>#NAME?</v>
      </c>
      <c r="F81" s="69" t="e">
        <f ca="1">_xll.BDH("JBH AU Equity","BS_SH_OUT","FY 2023","FY 2023","Currency=AUD","Period=FY","BEST_FPERIOD_OVERRIDE=FY","FILING_STATUS=MR","Sort=A","Dates=H","DateFormat=P","Fill=—","Direction=H","UseDPDF=Y")</f>
        <v>#NAME?</v>
      </c>
      <c r="G81" s="69" t="e">
        <f ca="1">_xll.BDH("JBH AU Equity","BS_SH_OUT","FY 2024","FY 2024","Currency=AUD","Period=FY","BEST_FPERIOD_OVERRIDE=FY","FILING_STATUS=MR","Sort=A","Dates=H","DateFormat=P","Fill=—","Direction=H","UseDPDF=Y")</f>
        <v>#NAME?</v>
      </c>
      <c r="H81" s="79"/>
      <c r="I81" s="67"/>
      <c r="J81" s="67"/>
      <c r="K81" s="67"/>
      <c r="L81" s="67"/>
    </row>
    <row r="82" spans="1:12">
      <c r="A82" s="67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</row>
    <row r="83" spans="1:12">
      <c r="A83" s="67" t="s">
        <v>696</v>
      </c>
      <c r="B83" s="75" t="e">
        <f ca="1">H80/G81</f>
        <v>#NAME?</v>
      </c>
      <c r="C83" s="67"/>
      <c r="D83" s="67"/>
      <c r="E83" s="67"/>
      <c r="F83" s="67"/>
      <c r="G83" s="67"/>
      <c r="H83" s="67"/>
      <c r="I83" s="67"/>
      <c r="J83" s="67"/>
      <c r="K83" s="67"/>
      <c r="L83" s="67"/>
    </row>
    <row r="84" spans="1:12">
      <c r="A84" s="67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</row>
  </sheetData>
  <phoneticPr fontId="1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6C465-AF40-4F69-98E3-C538D46B81E1}">
  <dimension ref="A1:H28"/>
  <sheetViews>
    <sheetView topLeftCell="B1" workbookViewId="0">
      <selection activeCell="B29" sqref="A29:XFD1048576"/>
    </sheetView>
  </sheetViews>
  <sheetFormatPr defaultColWidth="0" defaultRowHeight="15" zeroHeight="1"/>
  <cols>
    <col min="1" max="1" width="51.7109375" bestFit="1" customWidth="1"/>
    <col min="2" max="2" width="35" bestFit="1" customWidth="1"/>
    <col min="3" max="3" width="10.140625" bestFit="1" customWidth="1"/>
    <col min="4" max="7" width="9.140625" customWidth="1"/>
    <col min="8" max="8" width="10.140625" bestFit="1" customWidth="1"/>
    <col min="9" max="16384" width="9.140625" hidden="1"/>
  </cols>
  <sheetData>
    <row r="1" spans="1:8">
      <c r="A1" s="1"/>
      <c r="B1" s="1"/>
      <c r="C1" s="1"/>
      <c r="D1" s="1"/>
      <c r="E1" s="1"/>
      <c r="F1" s="1"/>
      <c r="G1" s="1"/>
      <c r="H1" s="1"/>
    </row>
    <row r="2" spans="1:8" ht="20.25">
      <c r="A2" s="2" t="s">
        <v>697</v>
      </c>
      <c r="B2" s="2"/>
      <c r="C2" s="2"/>
      <c r="D2" s="2"/>
      <c r="E2" s="2"/>
      <c r="F2" s="2"/>
      <c r="G2" s="2"/>
      <c r="H2" s="2"/>
    </row>
    <row r="3" spans="1:8">
      <c r="A3" s="3"/>
      <c r="B3" s="3"/>
      <c r="C3" s="3"/>
      <c r="D3" s="3"/>
      <c r="E3" s="3"/>
      <c r="F3" s="3"/>
      <c r="G3" s="3"/>
      <c r="H3" s="3"/>
    </row>
    <row r="4" spans="1:8">
      <c r="A4" s="4" t="s">
        <v>1</v>
      </c>
      <c r="B4" s="4"/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</row>
    <row r="5" spans="1:8">
      <c r="A5" s="6" t="s">
        <v>11</v>
      </c>
      <c r="B5" s="6"/>
      <c r="C5" s="7" t="s">
        <v>12</v>
      </c>
      <c r="D5" s="7" t="s">
        <v>13</v>
      </c>
      <c r="E5" s="7" t="s">
        <v>14</v>
      </c>
      <c r="F5" s="7" t="s">
        <v>15</v>
      </c>
      <c r="G5" s="7" t="s">
        <v>16</v>
      </c>
      <c r="H5" s="7" t="s">
        <v>17</v>
      </c>
    </row>
    <row r="6" spans="1:8">
      <c r="A6" s="11" t="s">
        <v>698</v>
      </c>
      <c r="B6" s="12"/>
      <c r="C6" s="12"/>
      <c r="D6" s="12"/>
      <c r="E6" s="12"/>
      <c r="F6" s="12"/>
      <c r="G6" s="12"/>
      <c r="H6" s="12"/>
    </row>
    <row r="7" spans="1:8">
      <c r="A7" s="8" t="s">
        <v>699</v>
      </c>
      <c r="B7" s="8" t="s">
        <v>700</v>
      </c>
      <c r="C7" s="10">
        <v>25.084099999999999</v>
      </c>
      <c r="D7" s="10">
        <v>28.1235</v>
      </c>
      <c r="E7" s="10">
        <v>41.928699999999999</v>
      </c>
      <c r="F7" s="10">
        <v>42.098399999999998</v>
      </c>
      <c r="G7" s="10">
        <v>38.860700000000001</v>
      </c>
      <c r="H7" s="10">
        <v>29.462499999999999</v>
      </c>
    </row>
    <row r="8" spans="1:8">
      <c r="A8" s="8" t="s">
        <v>701</v>
      </c>
      <c r="B8" s="8" t="s">
        <v>702</v>
      </c>
      <c r="C8" s="10">
        <v>9.8757000000000001</v>
      </c>
      <c r="D8" s="10">
        <v>10.5709</v>
      </c>
      <c r="E8" s="10">
        <v>15.796900000000001</v>
      </c>
      <c r="F8" s="10">
        <v>16.983799999999999</v>
      </c>
      <c r="G8" s="10">
        <v>16.403199999999998</v>
      </c>
      <c r="H8" s="10">
        <v>13.0566</v>
      </c>
    </row>
    <row r="9" spans="1:8">
      <c r="A9" s="8" t="s">
        <v>703</v>
      </c>
      <c r="B9" s="8" t="s">
        <v>704</v>
      </c>
      <c r="C9" s="10">
        <v>17.897600000000001</v>
      </c>
      <c r="D9" s="10">
        <v>19.5474</v>
      </c>
      <c r="E9" s="10">
        <v>27.645199999999999</v>
      </c>
      <c r="F9" s="10">
        <v>29.2347</v>
      </c>
      <c r="G9" s="10">
        <v>27.431799999999999</v>
      </c>
      <c r="H9" s="10">
        <v>21.4617</v>
      </c>
    </row>
    <row r="10" spans="1:8">
      <c r="A10" s="8" t="s">
        <v>705</v>
      </c>
      <c r="B10" s="8" t="s">
        <v>706</v>
      </c>
      <c r="C10" s="10">
        <v>17.7822</v>
      </c>
      <c r="D10" s="10">
        <v>19.4937</v>
      </c>
      <c r="E10" s="10">
        <v>27.0459</v>
      </c>
      <c r="F10" s="10">
        <v>28.533899999999999</v>
      </c>
      <c r="G10" s="10">
        <v>27.339300000000001</v>
      </c>
      <c r="H10" s="10">
        <v>21.395199999999999</v>
      </c>
    </row>
    <row r="11" spans="1:8">
      <c r="A11" s="8"/>
      <c r="B11" s="13"/>
      <c r="C11" s="13"/>
      <c r="D11" s="13"/>
      <c r="E11" s="13"/>
      <c r="F11" s="13"/>
      <c r="G11" s="13"/>
      <c r="H11" s="13"/>
    </row>
    <row r="12" spans="1:8">
      <c r="A12" s="11" t="s">
        <v>707</v>
      </c>
      <c r="B12" s="12"/>
      <c r="C12" s="12"/>
      <c r="D12" s="12"/>
      <c r="E12" s="12"/>
      <c r="F12" s="12"/>
      <c r="G12" s="12"/>
      <c r="H12" s="12"/>
    </row>
    <row r="13" spans="1:8">
      <c r="A13" s="8" t="s">
        <v>708</v>
      </c>
      <c r="B13" s="8" t="s">
        <v>709</v>
      </c>
      <c r="C13" s="10">
        <v>21.5227</v>
      </c>
      <c r="D13" s="10">
        <v>21.3931</v>
      </c>
      <c r="E13" s="10">
        <v>22.175599999999999</v>
      </c>
      <c r="F13" s="10">
        <v>22.534700000000001</v>
      </c>
      <c r="G13" s="10">
        <v>22.672000000000001</v>
      </c>
      <c r="H13" s="10">
        <v>22.313500000000001</v>
      </c>
    </row>
    <row r="14" spans="1:8">
      <c r="A14" s="8" t="s">
        <v>710</v>
      </c>
      <c r="B14" s="8" t="s">
        <v>711</v>
      </c>
      <c r="C14" s="10">
        <v>6.0476999999999999</v>
      </c>
      <c r="D14" s="10">
        <v>9.0669000000000004</v>
      </c>
      <c r="E14" s="10">
        <v>10.785</v>
      </c>
      <c r="F14" s="10">
        <v>10.9825</v>
      </c>
      <c r="G14" s="10">
        <v>10.317500000000001</v>
      </c>
      <c r="H14" s="10">
        <v>9.1989000000000001</v>
      </c>
    </row>
    <row r="15" spans="1:8">
      <c r="A15" s="8" t="s">
        <v>712</v>
      </c>
      <c r="B15" s="8" t="s">
        <v>713</v>
      </c>
      <c r="C15" s="10">
        <v>5.2556000000000003</v>
      </c>
      <c r="D15" s="10">
        <v>6.1031000000000004</v>
      </c>
      <c r="E15" s="10">
        <v>8.3344000000000005</v>
      </c>
      <c r="F15" s="10">
        <v>8.6069999999999993</v>
      </c>
      <c r="G15" s="10">
        <v>7.9884000000000004</v>
      </c>
      <c r="H15" s="10">
        <v>6.7469999999999999</v>
      </c>
    </row>
    <row r="16" spans="1:8">
      <c r="A16" s="8" t="s">
        <v>714</v>
      </c>
      <c r="B16" s="8" t="s">
        <v>715</v>
      </c>
      <c r="C16" s="10">
        <v>9.2530999999999999</v>
      </c>
      <c r="D16" s="10">
        <v>13.4046</v>
      </c>
      <c r="E16" s="10">
        <v>26.052900000000001</v>
      </c>
      <c r="F16" s="10">
        <v>16.302600000000002</v>
      </c>
      <c r="G16" s="10" t="s">
        <v>333</v>
      </c>
      <c r="H16" s="10">
        <v>-358.2353</v>
      </c>
    </row>
    <row r="17" spans="1:8">
      <c r="A17" s="8" t="s">
        <v>716</v>
      </c>
      <c r="B17" s="8" t="s">
        <v>717</v>
      </c>
      <c r="C17" s="10">
        <v>5.0639000000000003</v>
      </c>
      <c r="D17" s="10">
        <v>5.6574</v>
      </c>
      <c r="E17" s="10">
        <v>8.0753000000000004</v>
      </c>
      <c r="F17" s="10">
        <v>8.3979999999999997</v>
      </c>
      <c r="G17" s="10">
        <v>7.7609000000000004</v>
      </c>
      <c r="H17" s="10">
        <v>6.5406000000000004</v>
      </c>
    </row>
    <row r="18" spans="1:8">
      <c r="A18" s="8" t="s">
        <v>718</v>
      </c>
      <c r="B18" s="8" t="s">
        <v>719</v>
      </c>
      <c r="C18" s="10">
        <v>3.5206</v>
      </c>
      <c r="D18" s="10">
        <v>3.8174000000000001</v>
      </c>
      <c r="E18" s="10">
        <v>5.6761999999999997</v>
      </c>
      <c r="F18" s="10">
        <v>5.9023000000000003</v>
      </c>
      <c r="G18" s="10">
        <v>5.4496000000000002</v>
      </c>
      <c r="H18" s="10">
        <v>4.5744999999999996</v>
      </c>
    </row>
    <row r="19" spans="1:8">
      <c r="A19" s="8" t="s">
        <v>720</v>
      </c>
      <c r="B19" s="8" t="s">
        <v>721</v>
      </c>
      <c r="C19" s="10">
        <v>3.5206</v>
      </c>
      <c r="D19" s="10">
        <v>3.8174000000000001</v>
      </c>
      <c r="E19" s="10">
        <v>5.6761999999999997</v>
      </c>
      <c r="F19" s="10">
        <v>5.9023000000000003</v>
      </c>
      <c r="G19" s="10">
        <v>5.4496000000000002</v>
      </c>
      <c r="H19" s="10">
        <v>4.5744999999999996</v>
      </c>
    </row>
    <row r="20" spans="1:8">
      <c r="A20" s="8" t="s">
        <v>722</v>
      </c>
      <c r="B20" s="8" t="s">
        <v>723</v>
      </c>
      <c r="C20" s="10">
        <v>3.5206</v>
      </c>
      <c r="D20" s="10">
        <v>3.8174000000000001</v>
      </c>
      <c r="E20" s="10">
        <v>5.6761999999999997</v>
      </c>
      <c r="F20" s="10">
        <v>5.9023000000000003</v>
      </c>
      <c r="G20" s="10">
        <v>5.4496000000000002</v>
      </c>
      <c r="H20" s="10">
        <v>4.5744999999999996</v>
      </c>
    </row>
    <row r="21" spans="1:8">
      <c r="A21" s="8"/>
      <c r="B21" s="13"/>
      <c r="C21" s="13"/>
      <c r="D21" s="13"/>
      <c r="E21" s="13"/>
      <c r="F21" s="13"/>
      <c r="G21" s="13"/>
      <c r="H21" s="13"/>
    </row>
    <row r="22" spans="1:8">
      <c r="A22" s="11" t="s">
        <v>724</v>
      </c>
      <c r="B22" s="12"/>
      <c r="C22" s="12"/>
      <c r="D22" s="12"/>
      <c r="E22" s="12"/>
      <c r="F22" s="12"/>
      <c r="G22" s="12"/>
      <c r="H22" s="12"/>
    </row>
    <row r="23" spans="1:8">
      <c r="A23" s="8" t="s">
        <v>725</v>
      </c>
      <c r="B23" s="8" t="s">
        <v>726</v>
      </c>
      <c r="C23" s="10">
        <v>30.475899999999999</v>
      </c>
      <c r="D23" s="10">
        <v>32.522300000000001</v>
      </c>
      <c r="E23" s="10">
        <v>29.708300000000001</v>
      </c>
      <c r="F23" s="10">
        <v>29.717500000000001</v>
      </c>
      <c r="G23" s="10">
        <v>29.7818</v>
      </c>
      <c r="H23" s="10">
        <v>30.060600000000001</v>
      </c>
    </row>
    <row r="24" spans="1:8">
      <c r="A24" s="8" t="s">
        <v>651</v>
      </c>
      <c r="B24" s="8" t="s">
        <v>46</v>
      </c>
      <c r="C24" s="10">
        <v>65.332300000000004</v>
      </c>
      <c r="D24" s="10">
        <v>71.816100000000006</v>
      </c>
      <c r="E24" s="10">
        <v>65.145200000000003</v>
      </c>
      <c r="F24" s="10">
        <v>65.0762</v>
      </c>
      <c r="G24" s="10">
        <v>65.021000000000001</v>
      </c>
      <c r="H24" s="10">
        <v>84.981800000000007</v>
      </c>
    </row>
    <row r="25" spans="1:8">
      <c r="A25" s="8" t="s">
        <v>727</v>
      </c>
      <c r="B25" s="8" t="s">
        <v>728</v>
      </c>
      <c r="C25" s="10">
        <v>8.6960999999999995</v>
      </c>
      <c r="D25" s="10">
        <v>7.9263000000000003</v>
      </c>
      <c r="E25" s="10">
        <v>14.614100000000001</v>
      </c>
      <c r="F25" s="10">
        <v>14.702400000000001</v>
      </c>
      <c r="G25" s="10">
        <v>13.5931</v>
      </c>
      <c r="H25" s="10">
        <v>4.4246999999999996</v>
      </c>
    </row>
    <row r="26" spans="1:8"/>
    <row r="27" spans="1:8"/>
    <row r="28" spans="1:8"/>
  </sheetData>
  <phoneticPr fontId="1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opLeftCell="B1" workbookViewId="0">
      <selection activeCell="B20" sqref="A20:XFD1048576"/>
    </sheetView>
  </sheetViews>
  <sheetFormatPr defaultColWidth="0" defaultRowHeight="15" zeroHeight="1"/>
  <cols>
    <col min="1" max="1" width="74.42578125" bestFit="1" customWidth="1"/>
    <col min="2" max="2" width="35.7109375" bestFit="1" customWidth="1"/>
    <col min="3" max="3" width="11" bestFit="1" customWidth="1"/>
    <col min="4" max="4" width="9.140625" customWidth="1"/>
    <col min="5" max="8" width="10.140625" bestFit="1" customWidth="1"/>
    <col min="9" max="16384" width="9.140625" hidden="1"/>
  </cols>
  <sheetData>
    <row r="1" spans="1:8">
      <c r="A1" s="1"/>
      <c r="B1" s="1"/>
      <c r="C1" s="1"/>
      <c r="D1" s="1"/>
      <c r="E1" s="1"/>
      <c r="F1" s="1"/>
      <c r="G1" s="1"/>
      <c r="H1" s="1"/>
    </row>
    <row r="2" spans="1:8" ht="20.25">
      <c r="A2" s="2" t="s">
        <v>729</v>
      </c>
      <c r="B2" s="2"/>
      <c r="C2" s="2"/>
      <c r="D2" s="2"/>
      <c r="E2" s="2"/>
      <c r="F2" s="2"/>
      <c r="G2" s="2"/>
      <c r="H2" s="2"/>
    </row>
    <row r="3" spans="1:8">
      <c r="A3" s="3"/>
      <c r="B3" s="3"/>
      <c r="C3" s="3"/>
      <c r="D3" s="3"/>
      <c r="E3" s="3"/>
      <c r="F3" s="3"/>
      <c r="G3" s="3"/>
      <c r="H3" s="3"/>
    </row>
    <row r="4" spans="1:8">
      <c r="A4" s="4" t="s">
        <v>1</v>
      </c>
      <c r="B4" s="4"/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</row>
    <row r="5" spans="1:8">
      <c r="A5" s="6" t="s">
        <v>11</v>
      </c>
      <c r="B5" s="6"/>
      <c r="C5" s="7" t="s">
        <v>12</v>
      </c>
      <c r="D5" s="7" t="s">
        <v>13</v>
      </c>
      <c r="E5" s="7" t="s">
        <v>14</v>
      </c>
      <c r="F5" s="7" t="s">
        <v>15</v>
      </c>
      <c r="G5" s="7" t="s">
        <v>16</v>
      </c>
      <c r="H5" s="7" t="s">
        <v>17</v>
      </c>
    </row>
    <row r="6" spans="1:8">
      <c r="A6" s="8" t="s">
        <v>730</v>
      </c>
      <c r="B6" s="8" t="s">
        <v>731</v>
      </c>
      <c r="C6" s="9">
        <v>56.2</v>
      </c>
      <c r="D6" s="9">
        <v>234.7</v>
      </c>
      <c r="E6" s="9">
        <v>218.5</v>
      </c>
      <c r="F6" s="9">
        <v>219.3</v>
      </c>
      <c r="G6" s="9">
        <v>224.2</v>
      </c>
      <c r="H6" s="9">
        <v>235.2</v>
      </c>
    </row>
    <row r="7" spans="1:8">
      <c r="A7" s="8" t="s">
        <v>732</v>
      </c>
      <c r="B7" s="8" t="s">
        <v>733</v>
      </c>
      <c r="C7" s="10">
        <v>0.79210000000000003</v>
      </c>
      <c r="D7" s="10">
        <v>2.9638</v>
      </c>
      <c r="E7" s="10">
        <v>2.4506000000000001</v>
      </c>
      <c r="F7" s="10">
        <v>2.3754</v>
      </c>
      <c r="G7" s="10">
        <v>2.3290000000000002</v>
      </c>
      <c r="H7" s="10">
        <v>2.4519000000000002</v>
      </c>
    </row>
    <row r="8" spans="1:8">
      <c r="A8" s="8" t="s">
        <v>734</v>
      </c>
      <c r="B8" s="8" t="s">
        <v>735</v>
      </c>
      <c r="C8" s="10">
        <v>0.28860000000000002</v>
      </c>
      <c r="D8" s="10">
        <v>0.46660000000000001</v>
      </c>
      <c r="E8" s="10">
        <v>0.28749999999999998</v>
      </c>
      <c r="F8" s="10">
        <v>0.32829999999999998</v>
      </c>
      <c r="G8" s="10">
        <v>0.33379999999999999</v>
      </c>
      <c r="H8" s="10">
        <v>0.31819999999999998</v>
      </c>
    </row>
    <row r="9" spans="1:8">
      <c r="A9" s="8" t="s">
        <v>736</v>
      </c>
      <c r="B9" s="8" t="s">
        <v>737</v>
      </c>
      <c r="C9" s="10">
        <v>14.1633</v>
      </c>
      <c r="D9" s="10">
        <v>21.723800000000001</v>
      </c>
      <c r="E9" s="10">
        <v>25.8901</v>
      </c>
      <c r="F9" s="10">
        <v>31.6221</v>
      </c>
      <c r="G9" s="10">
        <v>34.551299999999998</v>
      </c>
      <c r="H9" s="10">
        <v>30.390599999999999</v>
      </c>
    </row>
    <row r="10" spans="1:8">
      <c r="A10" s="8" t="s">
        <v>738</v>
      </c>
      <c r="B10" s="8" t="s">
        <v>739</v>
      </c>
      <c r="C10" s="10">
        <v>65.5017</v>
      </c>
      <c r="D10" s="10">
        <v>45.674599999999998</v>
      </c>
      <c r="E10" s="10">
        <v>54.440899999999999</v>
      </c>
      <c r="F10" s="10">
        <v>61.32</v>
      </c>
      <c r="G10" s="10">
        <v>61.0565</v>
      </c>
      <c r="H10" s="10">
        <v>58.066600000000001</v>
      </c>
    </row>
    <row r="11" spans="1:8">
      <c r="A11" s="8" t="s">
        <v>740</v>
      </c>
      <c r="B11" s="8" t="s">
        <v>741</v>
      </c>
      <c r="C11" s="9">
        <v>-59.3</v>
      </c>
      <c r="D11" s="9">
        <v>-43.1</v>
      </c>
      <c r="E11" s="9">
        <v>-57.7</v>
      </c>
      <c r="F11" s="9">
        <v>-57.6</v>
      </c>
      <c r="G11" s="9">
        <v>-72</v>
      </c>
      <c r="H11" s="9">
        <v>-74.5</v>
      </c>
    </row>
    <row r="12" spans="1:8">
      <c r="A12" s="8" t="s">
        <v>742</v>
      </c>
      <c r="B12" s="8" t="s">
        <v>743</v>
      </c>
      <c r="C12" s="10">
        <v>0.83579999999999999</v>
      </c>
      <c r="D12" s="10">
        <v>0.54430000000000001</v>
      </c>
      <c r="E12" s="10">
        <v>0.64710000000000001</v>
      </c>
      <c r="F12" s="10">
        <v>0.62390000000000001</v>
      </c>
      <c r="G12" s="10">
        <v>0.74790000000000001</v>
      </c>
      <c r="H12" s="10">
        <v>0.77669999999999995</v>
      </c>
    </row>
    <row r="13" spans="1:8">
      <c r="A13" s="8" t="s">
        <v>744</v>
      </c>
      <c r="B13" s="8" t="s">
        <v>745</v>
      </c>
      <c r="C13" s="10">
        <v>2.3443999999999998</v>
      </c>
      <c r="D13" s="10">
        <v>1.5071000000000001</v>
      </c>
      <c r="E13" s="10">
        <v>1.8009999999999999</v>
      </c>
      <c r="F13" s="10">
        <v>1.7952999999999999</v>
      </c>
      <c r="G13" s="10">
        <v>2.2513000000000001</v>
      </c>
      <c r="H13" s="10">
        <v>2.2168000000000001</v>
      </c>
    </row>
    <row r="14" spans="1:8">
      <c r="A14" s="8" t="s">
        <v>746</v>
      </c>
      <c r="B14" s="8" t="s">
        <v>747</v>
      </c>
      <c r="C14" s="10">
        <v>1.0551999999999999</v>
      </c>
      <c r="D14" s="10">
        <v>0.18360000000000001</v>
      </c>
      <c r="E14" s="10">
        <v>0.2641</v>
      </c>
      <c r="F14" s="10">
        <v>0.26269999999999999</v>
      </c>
      <c r="G14" s="10">
        <v>0.3211</v>
      </c>
      <c r="H14" s="10">
        <v>0.31680000000000003</v>
      </c>
    </row>
    <row r="15" spans="1:8">
      <c r="A15" s="8" t="s">
        <v>748</v>
      </c>
      <c r="B15" s="8" t="s">
        <v>749</v>
      </c>
      <c r="C15" s="10">
        <v>1.0464</v>
      </c>
      <c r="D15" s="10">
        <v>0.86599999999999999</v>
      </c>
      <c r="E15" s="10">
        <v>0.66290000000000004</v>
      </c>
      <c r="F15" s="10">
        <v>0.53320000000000001</v>
      </c>
      <c r="G15" s="10">
        <v>0.4173</v>
      </c>
      <c r="H15" s="10">
        <v>0.2697</v>
      </c>
    </row>
    <row r="16" spans="1:8">
      <c r="A16" s="8" t="s">
        <v>750</v>
      </c>
      <c r="B16" s="8" t="s">
        <v>751</v>
      </c>
      <c r="C16" s="10">
        <v>9.0074000000000005</v>
      </c>
      <c r="D16" s="10">
        <v>-27.3187</v>
      </c>
      <c r="E16" s="10">
        <v>33.874699999999997</v>
      </c>
      <c r="F16" s="10">
        <v>-0.17330000000000001</v>
      </c>
      <c r="G16" s="10">
        <v>25</v>
      </c>
      <c r="H16" s="10">
        <v>3.4722</v>
      </c>
    </row>
    <row r="17" spans="1:8">
      <c r="A17" s="8" t="s">
        <v>752</v>
      </c>
      <c r="B17" s="8" t="s">
        <v>753</v>
      </c>
      <c r="C17" s="10">
        <v>6.4698000000000002</v>
      </c>
      <c r="D17" s="10">
        <v>2.9178000000000002</v>
      </c>
      <c r="E17" s="10">
        <v>3.8572000000000002</v>
      </c>
      <c r="F17" s="10">
        <v>4.5586000000000002</v>
      </c>
      <c r="G17" s="10">
        <v>4.9852999999999996</v>
      </c>
      <c r="H17" s="10">
        <v>4.5050999999999997</v>
      </c>
    </row>
    <row r="18" spans="1:8"/>
    <row r="19" spans="1:8"/>
  </sheetData>
  <phoneticPr fontId="1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328DEB8670B14CA733BA8BB0609863" ma:contentTypeVersion="10" ma:contentTypeDescription="Create a new document." ma:contentTypeScope="" ma:versionID="138f5b786f0125fc249ec406526ddaf9">
  <xsd:schema xmlns:xsd="http://www.w3.org/2001/XMLSchema" xmlns:xs="http://www.w3.org/2001/XMLSchema" xmlns:p="http://schemas.microsoft.com/office/2006/metadata/properties" xmlns:ns3="5b7654a5-b412-48c2-ad60-3d816ac2d03f" targetNamespace="http://schemas.microsoft.com/office/2006/metadata/properties" ma:root="true" ma:fieldsID="31576189ad2cba2952ee5f08f3a54aa6" ns3:_="">
    <xsd:import namespace="5b7654a5-b412-48c2-ad60-3d816ac2d03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7654a5-b412-48c2-ad60-3d816ac2d0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b7654a5-b412-48c2-ad60-3d816ac2d03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9D75DC-35A2-46AE-94EA-568470450F62}"/>
</file>

<file path=customXml/itemProps2.xml><?xml version="1.0" encoding="utf-8"?>
<ds:datastoreItem xmlns:ds="http://schemas.openxmlformats.org/officeDocument/2006/customXml" ds:itemID="{F40C59F5-E637-4DCA-98D0-F9AC6475F0E5}"/>
</file>

<file path=customXml/itemProps3.xml><?xml version="1.0" encoding="utf-8"?>
<ds:datastoreItem xmlns:ds="http://schemas.openxmlformats.org/officeDocument/2006/customXml" ds:itemID="{3E55ACAF-A5C2-4AC7-B9F3-AB1BB84621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Cheuk Kwan Ip</dc:creator>
  <cp:keywords/>
  <dc:description/>
  <cp:lastModifiedBy>Yu-Ling Chou</cp:lastModifiedBy>
  <cp:revision/>
  <dcterms:created xsi:type="dcterms:W3CDTF">2015-06-05T18:17:20Z</dcterms:created>
  <dcterms:modified xsi:type="dcterms:W3CDTF">2025-09-15T12:23:07Z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0x010100CF328DEB8670B14CA733BA8BB0609863</vt:lpwstr>
  </property>
</Properties>
</file>