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 Abed\Desktop\"/>
    </mc:Choice>
  </mc:AlternateContent>
  <xr:revisionPtr revIDLastSave="0" documentId="13_ncr:1_{F7671F09-49D8-4608-BA43-58F95DAB341F}" xr6:coauthVersionLast="45" xr6:coauthVersionMax="45" xr10:uidLastSave="{00000000-0000-0000-0000-000000000000}"/>
  <bookViews>
    <workbookView xWindow="-120" yWindow="-120" windowWidth="20730" windowHeight="11160" tabRatio="917" firstSheet="5" activeTab="6" xr2:uid="{2F1DD078-5BA2-4A5D-967B-0A8F56F76F1D}"/>
  </bookViews>
  <sheets>
    <sheet name="Moody's Summary" sheetId="26" r:id="rId1"/>
    <sheet name="MOODY'S DATA" sheetId="21" r:id="rId2"/>
    <sheet name="CAPITAL ADEQUACY" sheetId="13" r:id="rId3"/>
    <sheet name="LIQUIDITY AND FUNDING" sheetId="15" r:id="rId4"/>
    <sheet name="PRELIMINARY INTRINSIC FINANCIAL" sheetId="25" r:id="rId5"/>
    <sheet name="MEMBER SUPPORT" sheetId="16" r:id="rId6"/>
    <sheet name="FITCH Summary" sheetId="27" r:id="rId7"/>
    <sheet name="FITCH DATA" sheetId="22" r:id="rId8"/>
    <sheet name="SOLVENCY" sheetId="17" r:id="rId9"/>
    <sheet name="LIQUIDITY" sheetId="18" r:id="rId10"/>
    <sheet name="BUSINESS ENVIRONMENT" sheetId="19" r:id="rId11"/>
    <sheet name="SUPPORT CREDIT RATING" sheetId="23" r:id="rId12"/>
  </sheets>
  <definedNames>
    <definedName name="_xlnm._FilterDatabase" localSheetId="7" hidden="1">'FITCH DATA'!$O$73:$O$94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4" i="23" l="1" a="1"/>
  <c r="P4" i="23" s="1"/>
  <c r="D12" i="19" l="1" a="1"/>
  <c r="D12" i="19" s="1"/>
  <c r="C12" i="19" a="1"/>
  <c r="C12" i="19" s="1"/>
  <c r="R3" i="22" a="1"/>
  <c r="R3" i="22" s="1"/>
  <c r="R4" i="22" a="1"/>
  <c r="R4" i="22" s="1"/>
  <c r="R5" i="22" a="1"/>
  <c r="R5" i="22"/>
  <c r="R6" i="22" a="1"/>
  <c r="R6" i="22"/>
  <c r="R7" i="22" a="1"/>
  <c r="R7" i="22" s="1"/>
  <c r="R8" i="22" a="1"/>
  <c r="R8" i="22" s="1"/>
  <c r="R9" i="22" a="1"/>
  <c r="R9" i="22" s="1"/>
  <c r="R10" i="22" a="1"/>
  <c r="R10" i="22"/>
  <c r="R11" i="22" a="1"/>
  <c r="R11" i="22" s="1"/>
  <c r="R12" i="22" a="1"/>
  <c r="R12" i="22" s="1"/>
  <c r="R13" i="22" a="1"/>
  <c r="R13" i="22" s="1"/>
  <c r="R14" i="22" a="1"/>
  <c r="R14" i="22"/>
  <c r="R15" i="22" a="1"/>
  <c r="R15" i="22" s="1"/>
  <c r="R16" i="22" a="1"/>
  <c r="R16" i="22" s="1"/>
  <c r="R17" i="22" a="1"/>
  <c r="R17" i="22" s="1"/>
  <c r="R18" i="22" a="1"/>
  <c r="R18" i="22"/>
  <c r="R19" i="22" a="1"/>
  <c r="R19" i="22" s="1"/>
  <c r="R20" i="22" a="1"/>
  <c r="R20" i="22" s="1"/>
  <c r="R21" i="22" a="1"/>
  <c r="R21" i="22" s="1"/>
  <c r="R22" i="22" a="1"/>
  <c r="R22" i="22"/>
  <c r="R23" i="22" a="1"/>
  <c r="R23" i="22" s="1"/>
  <c r="R24" i="22" a="1"/>
  <c r="R24" i="22" s="1"/>
  <c r="R25" i="22" a="1"/>
  <c r="R25" i="22" s="1"/>
  <c r="R26" i="22" a="1"/>
  <c r="R26" i="22"/>
  <c r="R27" i="22" a="1"/>
  <c r="R27" i="22" s="1"/>
  <c r="R28" i="22" a="1"/>
  <c r="R28" i="22" s="1"/>
  <c r="R29" i="22" a="1"/>
  <c r="R29" i="22" s="1"/>
  <c r="R30" i="22" a="1"/>
  <c r="R30" i="22"/>
  <c r="R31" i="22" a="1"/>
  <c r="R31" i="22" s="1"/>
  <c r="R32" i="22" a="1"/>
  <c r="R32" i="22" s="1"/>
  <c r="R33" i="22" a="1"/>
  <c r="R33" i="22" s="1"/>
  <c r="R34" i="22" a="1"/>
  <c r="R34" i="22"/>
  <c r="R35" i="22" a="1"/>
  <c r="R35" i="22" s="1"/>
  <c r="R36" i="22" a="1"/>
  <c r="R36" i="22" s="1"/>
  <c r="R37" i="22" a="1"/>
  <c r="R37" i="22" s="1"/>
  <c r="R38" i="22" a="1"/>
  <c r="R38" i="22"/>
  <c r="R39" i="22" a="1"/>
  <c r="R39" i="22" s="1"/>
  <c r="R40" i="22" a="1"/>
  <c r="R40" i="22" s="1"/>
  <c r="R41" i="22" a="1"/>
  <c r="R41" i="22" s="1"/>
  <c r="R42" i="22" a="1"/>
  <c r="R42" i="22"/>
  <c r="R43" i="22" a="1"/>
  <c r="R43" i="22" s="1"/>
  <c r="R44" i="22" a="1"/>
  <c r="R44" i="22" s="1"/>
  <c r="R45" i="22" a="1"/>
  <c r="R45" i="22" s="1"/>
  <c r="R46" i="22" a="1"/>
  <c r="R46" i="22"/>
  <c r="R47" i="22" a="1"/>
  <c r="R47" i="22" s="1"/>
  <c r="R48" i="22" a="1"/>
  <c r="R48" i="22" s="1"/>
  <c r="R49" i="22" a="1"/>
  <c r="R49" i="22" s="1"/>
  <c r="R50" i="22" a="1"/>
  <c r="R50" i="22"/>
  <c r="R51" i="22" a="1"/>
  <c r="R51" i="22" s="1"/>
  <c r="R52" i="22" a="1"/>
  <c r="R52" i="22" s="1"/>
  <c r="R53" i="22" a="1"/>
  <c r="R53" i="22" s="1"/>
  <c r="R54" i="22" a="1"/>
  <c r="R54" i="22"/>
  <c r="R55" i="22" a="1"/>
  <c r="R55" i="22" s="1"/>
  <c r="R56" i="22" a="1"/>
  <c r="R56" i="22" s="1"/>
  <c r="R57" i="22" a="1"/>
  <c r="R57" i="22" s="1"/>
  <c r="R58" i="22" a="1"/>
  <c r="R58" i="22"/>
  <c r="R59" i="22" a="1"/>
  <c r="R59" i="22" s="1"/>
  <c r="R60" i="22" a="1"/>
  <c r="R60" i="22" s="1"/>
  <c r="R61" i="22" a="1"/>
  <c r="R61" i="22" s="1"/>
  <c r="R62" i="22" a="1"/>
  <c r="R62" i="22"/>
  <c r="R63" i="22" a="1"/>
  <c r="R63" i="22" s="1"/>
  <c r="R64" i="22" a="1"/>
  <c r="R64" i="22" s="1"/>
  <c r="R65" i="22" a="1"/>
  <c r="R65" i="22" s="1"/>
  <c r="R66" i="22" a="1"/>
  <c r="R66" i="22"/>
  <c r="R67" i="22" a="1"/>
  <c r="R67" i="22" s="1"/>
  <c r="R68" i="22" a="1"/>
  <c r="R68" i="22" s="1"/>
  <c r="R69" i="22" a="1"/>
  <c r="R69" i="22" s="1"/>
  <c r="R70" i="22" a="1"/>
  <c r="R70" i="22"/>
  <c r="R71" i="22" a="1"/>
  <c r="R71" i="22" s="1"/>
  <c r="R2" i="22" a="1"/>
  <c r="R2" i="22" s="1"/>
  <c r="J14" i="27"/>
  <c r="D10" i="16"/>
  <c r="B25" i="21"/>
  <c r="D7" i="23" l="1"/>
  <c r="C7" i="23"/>
  <c r="D5" i="18"/>
  <c r="C25" i="17"/>
  <c r="E25" i="17" s="1"/>
  <c r="C22" i="17"/>
  <c r="E22" i="17" s="1"/>
  <c r="B5" i="22"/>
  <c r="D14" i="13"/>
  <c r="D18" i="13"/>
  <c r="C5" i="18" l="1"/>
  <c r="B21" i="22"/>
  <c r="B16" i="22"/>
  <c r="B14" i="21"/>
  <c r="D5" i="13" s="1"/>
  <c r="E5" i="13" s="1"/>
  <c r="D21" i="13"/>
  <c r="E21" i="13" s="1"/>
  <c r="B11" i="21"/>
  <c r="D18" i="16" a="1"/>
  <c r="D18" i="16" s="1"/>
  <c r="D9" i="16"/>
  <c r="C8" i="16" s="1" a="1"/>
  <c r="C8" i="16" s="1"/>
  <c r="D15" i="16" s="1"/>
  <c r="D32" i="16" s="1"/>
  <c r="F32" i="16" s="1" a="1"/>
  <c r="F32" i="16" s="1"/>
  <c r="D45" i="21"/>
  <c r="D44" i="21"/>
  <c r="D43" i="21"/>
  <c r="D42" i="21"/>
  <c r="D41" i="21"/>
  <c r="D38" i="22"/>
  <c r="D39" i="22"/>
  <c r="D40" i="22"/>
  <c r="D41" i="22"/>
  <c r="D37" i="22"/>
  <c r="D11" i="16" l="1"/>
  <c r="C11" i="16" s="1"/>
  <c r="L70" i="26"/>
  <c r="F8" i="27" l="1"/>
  <c r="B8" i="27"/>
  <c r="B14" i="27" s="1" a="1"/>
  <c r="B14" i="27" s="1"/>
  <c r="P4" i="27"/>
  <c r="C10" i="18"/>
  <c r="D10" i="18" s="1"/>
  <c r="I2" i="22" a="1"/>
  <c r="I2" i="22" s="1"/>
  <c r="K8" i="19" l="1"/>
  <c r="L8" i="19"/>
  <c r="K7" i="19"/>
  <c r="L4" i="27"/>
  <c r="J4" i="27"/>
  <c r="H4" i="27"/>
  <c r="F4" i="27"/>
  <c r="D4" i="27"/>
  <c r="B4" i="27"/>
  <c r="B9" i="23" a="1"/>
  <c r="B9" i="23" s="1"/>
  <c r="K8" i="18"/>
  <c r="K10" i="18" s="1"/>
  <c r="K8" i="17"/>
  <c r="L10" i="17" s="1"/>
  <c r="R4" i="27" l="1"/>
  <c r="B19" i="27" a="1"/>
  <c r="B19" i="27" s="1"/>
  <c r="L10" i="18"/>
  <c r="K10" i="17"/>
  <c r="P46" i="26" l="1"/>
  <c r="J10" i="26"/>
  <c r="J5" i="26"/>
  <c r="P25" i="26"/>
  <c r="P9" i="26"/>
  <c r="P20" i="26"/>
  <c r="J73" i="26"/>
  <c r="J72" i="26"/>
  <c r="J8" i="26"/>
  <c r="K8" i="26"/>
  <c r="L8" i="26"/>
  <c r="K7" i="26"/>
  <c r="L7" i="26"/>
  <c r="J7" i="26"/>
  <c r="K20" i="26"/>
  <c r="L20" i="26"/>
  <c r="J20" i="26"/>
  <c r="J70" i="26"/>
  <c r="J69" i="26"/>
  <c r="J67" i="26"/>
  <c r="K67" i="26"/>
  <c r="L67" i="26"/>
  <c r="K66" i="26"/>
  <c r="L66" i="26"/>
  <c r="J66" i="26"/>
  <c r="J64" i="26"/>
  <c r="L64" i="26"/>
  <c r="L63" i="26"/>
  <c r="J63" i="26"/>
  <c r="N43" i="26"/>
  <c r="N41" i="26"/>
  <c r="N39" i="26"/>
  <c r="N37" i="26"/>
  <c r="C20" i="15" a="1"/>
  <c r="C20" i="15" s="1"/>
  <c r="N45" i="26" s="1"/>
  <c r="L51" i="26"/>
  <c r="L59" i="26"/>
  <c r="J60" i="26"/>
  <c r="J61" i="26"/>
  <c r="J59" i="26"/>
  <c r="J56" i="26"/>
  <c r="K56" i="26"/>
  <c r="L56" i="26"/>
  <c r="L54" i="26"/>
  <c r="K54" i="26"/>
  <c r="K55" i="26"/>
  <c r="L55" i="26"/>
  <c r="J55" i="26"/>
  <c r="J54" i="26"/>
  <c r="K53" i="26"/>
  <c r="J53" i="26"/>
  <c r="K51" i="26"/>
  <c r="J51" i="26"/>
  <c r="N46" i="26" l="1"/>
  <c r="R35" i="26" s="1"/>
  <c r="J35" i="26"/>
  <c r="J29" i="26"/>
  <c r="J36" i="26"/>
  <c r="J44" i="26"/>
  <c r="J45" i="26"/>
  <c r="L45" i="26"/>
  <c r="J38" i="26"/>
  <c r="J39" i="26"/>
  <c r="L39" i="26"/>
  <c r="J40" i="26"/>
  <c r="J41" i="26"/>
  <c r="L41" i="26"/>
  <c r="J42" i="26"/>
  <c r="J43" i="26"/>
  <c r="L43" i="26"/>
  <c r="J37" i="26"/>
  <c r="L37" i="26"/>
  <c r="J33" i="26"/>
  <c r="K33" i="26"/>
  <c r="L33" i="26"/>
  <c r="J32" i="26"/>
  <c r="K32" i="26"/>
  <c r="L32" i="26"/>
  <c r="J30" i="26"/>
  <c r="J25" i="26"/>
  <c r="K25" i="26"/>
  <c r="L25" i="26"/>
  <c r="J24" i="26"/>
  <c r="K24" i="26"/>
  <c r="L24" i="26"/>
  <c r="J22" i="26"/>
  <c r="J19" i="26"/>
  <c r="J17" i="26"/>
  <c r="J15" i="26"/>
  <c r="B6" i="19" l="1" a="1"/>
  <c r="B6" i="19" s="1"/>
  <c r="B8" i="21" l="1"/>
  <c r="B10" i="22"/>
  <c r="B13" i="22"/>
  <c r="B15" i="17" a="1"/>
  <c r="B15" i="17" s="1"/>
  <c r="BA2" i="21" a="1"/>
  <c r="BA2" i="21" s="1"/>
  <c r="BA3" i="21" a="1"/>
  <c r="BA3" i="21" s="1"/>
  <c r="BA4" i="21" a="1"/>
  <c r="BA4" i="21" s="1"/>
  <c r="BA5" i="21" a="1"/>
  <c r="BA5" i="21" s="1"/>
  <c r="BA6" i="21" a="1"/>
  <c r="BA6" i="21" s="1"/>
  <c r="BA7" i="21" a="1"/>
  <c r="BA7" i="21" s="1"/>
  <c r="BA8" i="21" a="1"/>
  <c r="BA8" i="21" s="1"/>
  <c r="BA9" i="21" a="1"/>
  <c r="BA9" i="21" s="1"/>
  <c r="BA10" i="21" a="1"/>
  <c r="BA10" i="21" s="1"/>
  <c r="BA11" i="21" a="1"/>
  <c r="BA11" i="21" s="1"/>
  <c r="BA12" i="21" a="1"/>
  <c r="BA12" i="21" s="1"/>
  <c r="BA13" i="21" a="1"/>
  <c r="BA13" i="21" s="1"/>
  <c r="BA14" i="21" a="1"/>
  <c r="BA14" i="21" s="1"/>
  <c r="BA15" i="21" a="1"/>
  <c r="BA15" i="21" s="1"/>
  <c r="BA16" i="21" a="1"/>
  <c r="BA16" i="21" s="1"/>
  <c r="BA17" i="21" a="1"/>
  <c r="BA17" i="21" s="1"/>
  <c r="BA18" i="21" a="1"/>
  <c r="BA18" i="21" s="1"/>
  <c r="BA19" i="21" a="1"/>
  <c r="BA19" i="21" s="1"/>
  <c r="AY20" i="21"/>
  <c r="C4" i="16" l="1" a="1"/>
  <c r="C4" i="16" s="1"/>
  <c r="D5" i="16"/>
  <c r="C10" i="17"/>
  <c r="D6" i="15"/>
  <c r="G12" i="21"/>
  <c r="D17" i="13"/>
  <c r="D16" i="13"/>
  <c r="D15" i="13"/>
  <c r="L2" i="21" a="1"/>
  <c r="L2" i="21" s="1"/>
  <c r="Q2" i="22" a="1"/>
  <c r="Q2" i="22" s="1"/>
  <c r="B19" i="21"/>
  <c r="C31" i="16" l="1" a="1"/>
  <c r="C31" i="16" s="1"/>
  <c r="C32" i="16" s="1" a="1"/>
  <c r="C32" i="16" s="1"/>
  <c r="L74" i="26" s="1"/>
  <c r="B86" i="26" s="1"/>
  <c r="E14" i="13"/>
  <c r="L60" i="26"/>
  <c r="G32" i="16" l="1"/>
  <c r="L73" i="26"/>
  <c r="D25" i="13"/>
  <c r="D22" i="13"/>
  <c r="D33" i="13"/>
  <c r="E33" i="13" s="1"/>
  <c r="D26" i="13"/>
  <c r="E26" i="13" s="1"/>
  <c r="E25" i="13" l="1"/>
  <c r="E22" i="13"/>
  <c r="D20" i="13"/>
  <c r="D5" i="15"/>
  <c r="D32" i="13"/>
  <c r="E32" i="13" s="1"/>
  <c r="D6" i="13"/>
  <c r="Z8" i="21"/>
  <c r="Z7" i="21"/>
  <c r="Z6" i="21"/>
  <c r="Z5" i="21"/>
  <c r="Z17" i="21"/>
  <c r="Z16" i="21"/>
  <c r="Z15" i="21"/>
  <c r="Z14" i="21"/>
  <c r="AD8" i="21"/>
  <c r="AD7" i="21"/>
  <c r="AD6" i="21"/>
  <c r="I6" i="22" a="1"/>
  <c r="I6" i="22" s="1"/>
  <c r="I8" i="22" a="1"/>
  <c r="I8" i="22" s="1"/>
  <c r="I9" i="22" a="1"/>
  <c r="I9" i="22" s="1"/>
  <c r="I12" i="22" a="1"/>
  <c r="I12" i="22" s="1"/>
  <c r="I15" i="22" a="1"/>
  <c r="I15" i="22" s="1"/>
  <c r="I16" i="22" a="1"/>
  <c r="I16" i="22" s="1"/>
  <c r="I19" i="22" a="1"/>
  <c r="I19" i="22" s="1"/>
  <c r="G20" i="22"/>
  <c r="L3" i="22"/>
  <c r="L4" i="22" s="1"/>
  <c r="D4" i="13" l="1"/>
  <c r="E6" i="13"/>
  <c r="C4" i="15" a="1"/>
  <c r="C4" i="15" s="1"/>
  <c r="E5" i="15"/>
  <c r="C30" i="13" a="1"/>
  <c r="C30" i="13" s="1"/>
  <c r="C20" i="13" a="1"/>
  <c r="C20" i="13" s="1"/>
  <c r="L5" i="22"/>
  <c r="I3" i="22" a="1"/>
  <c r="I3" i="22" s="1"/>
  <c r="I14" i="22" a="1"/>
  <c r="I14" i="22" s="1"/>
  <c r="C11" i="18"/>
  <c r="D11" i="18" s="1"/>
  <c r="C13" i="13" a="1"/>
  <c r="C13" i="13" s="1"/>
  <c r="N13" i="26" s="1"/>
  <c r="R3" i="21"/>
  <c r="R4" i="21"/>
  <c r="R5" i="21"/>
  <c r="R6" i="21"/>
  <c r="R7" i="21"/>
  <c r="R8" i="21"/>
  <c r="R9" i="21"/>
  <c r="L13" i="26" l="1"/>
  <c r="N15" i="26"/>
  <c r="L15" i="26"/>
  <c r="N22" i="26"/>
  <c r="N24" i="26" s="1"/>
  <c r="N25" i="26" s="1"/>
  <c r="R22" i="26" s="1"/>
  <c r="L22" i="26"/>
  <c r="C4" i="13" a="1"/>
  <c r="C4" i="13" s="1"/>
  <c r="C25" i="13" a="1"/>
  <c r="C25" i="13" s="1"/>
  <c r="L6" i="22"/>
  <c r="L7" i="22" s="1"/>
  <c r="I13" i="22" a="1"/>
  <c r="I13" i="22" s="1"/>
  <c r="C9" i="18"/>
  <c r="L3" i="21" a="1"/>
  <c r="L3" i="21" s="1"/>
  <c r="L4" i="21" a="1"/>
  <c r="L4" i="21" s="1"/>
  <c r="L5" i="21" a="1"/>
  <c r="L5" i="21" s="1"/>
  <c r="L6" i="21" a="1"/>
  <c r="L6" i="21" s="1"/>
  <c r="L7" i="21" a="1"/>
  <c r="L7" i="21" s="1"/>
  <c r="L8" i="21" a="1"/>
  <c r="L8" i="21" s="1"/>
  <c r="L9" i="21" a="1"/>
  <c r="L9" i="21" s="1"/>
  <c r="L10" i="21" a="1"/>
  <c r="L10" i="21" s="1"/>
  <c r="L11" i="21" a="1"/>
  <c r="L11" i="21" s="1"/>
  <c r="L12" i="21" a="1"/>
  <c r="L12" i="21" s="1"/>
  <c r="L13" i="21" a="1"/>
  <c r="L13" i="21" s="1"/>
  <c r="L14" i="21" a="1"/>
  <c r="L14" i="21" s="1"/>
  <c r="L15" i="21" a="1"/>
  <c r="L15" i="21" s="1"/>
  <c r="L16" i="21" a="1"/>
  <c r="L16" i="21" s="1"/>
  <c r="L17" i="21" a="1"/>
  <c r="L17" i="21" s="1"/>
  <c r="L18" i="21" a="1"/>
  <c r="L18" i="21" s="1"/>
  <c r="L19" i="21" a="1"/>
  <c r="L19" i="21" s="1"/>
  <c r="L20" i="21" a="1"/>
  <c r="L20" i="21" s="1"/>
  <c r="L21" i="21" a="1"/>
  <c r="L21" i="21" s="1"/>
  <c r="L22" i="21" a="1"/>
  <c r="L22" i="21" s="1"/>
  <c r="L23" i="21" a="1"/>
  <c r="L23" i="21" s="1"/>
  <c r="L24" i="21" a="1"/>
  <c r="L24" i="21" s="1"/>
  <c r="L25" i="21" a="1"/>
  <c r="L25" i="21" s="1"/>
  <c r="L26" i="21" a="1"/>
  <c r="L26" i="21" s="1"/>
  <c r="L27" i="21" a="1"/>
  <c r="L27" i="21" s="1"/>
  <c r="L28" i="21" a="1"/>
  <c r="L28" i="21" s="1"/>
  <c r="L29" i="21" a="1"/>
  <c r="L29" i="21" s="1"/>
  <c r="L30" i="21" a="1"/>
  <c r="L30" i="21" s="1"/>
  <c r="L31" i="21" a="1"/>
  <c r="L31" i="21" s="1"/>
  <c r="L32" i="21" a="1"/>
  <c r="L32" i="21" s="1"/>
  <c r="L33" i="21" a="1"/>
  <c r="L33" i="21" s="1"/>
  <c r="L34" i="21" a="1"/>
  <c r="L34" i="21" s="1"/>
  <c r="L35" i="21" a="1"/>
  <c r="L35" i="21" s="1"/>
  <c r="L36" i="21" a="1"/>
  <c r="L36" i="21" s="1"/>
  <c r="L37" i="21" a="1"/>
  <c r="L37" i="21" s="1"/>
  <c r="L38" i="21" a="1"/>
  <c r="L38" i="21" s="1"/>
  <c r="L39" i="21" a="1"/>
  <c r="L39" i="21" s="1"/>
  <c r="L40" i="21" a="1"/>
  <c r="L40" i="21" s="1"/>
  <c r="L41" i="21" a="1"/>
  <c r="L41" i="21" s="1"/>
  <c r="L42" i="21" a="1"/>
  <c r="L42" i="21" s="1"/>
  <c r="L43" i="21" a="1"/>
  <c r="L43" i="21" s="1"/>
  <c r="L44" i="21" a="1"/>
  <c r="L44" i="21" s="1"/>
  <c r="L45" i="21" a="1"/>
  <c r="L45" i="21" s="1"/>
  <c r="L46" i="21" a="1"/>
  <c r="L46" i="21" s="1"/>
  <c r="L47" i="21" a="1"/>
  <c r="L47" i="21" s="1"/>
  <c r="L48" i="21" a="1"/>
  <c r="L48" i="21" s="1"/>
  <c r="L49" i="21" a="1"/>
  <c r="L49" i="21" s="1"/>
  <c r="L50" i="21" a="1"/>
  <c r="L50" i="21" s="1"/>
  <c r="L51" i="21" a="1"/>
  <c r="L51" i="21" s="1"/>
  <c r="L52" i="21" a="1"/>
  <c r="L52" i="21" s="1"/>
  <c r="L53" i="21" a="1"/>
  <c r="L53" i="21" s="1"/>
  <c r="L54" i="21" a="1"/>
  <c r="L54" i="21" s="1"/>
  <c r="L55" i="21" a="1"/>
  <c r="L55" i="21" s="1"/>
  <c r="L56" i="21" a="1"/>
  <c r="L56" i="21" s="1"/>
  <c r="L57" i="21" a="1"/>
  <c r="L57" i="21" s="1"/>
  <c r="L58" i="21" a="1"/>
  <c r="L58" i="21" s="1"/>
  <c r="L59" i="21" a="1"/>
  <c r="L59" i="21" s="1"/>
  <c r="L60" i="21" a="1"/>
  <c r="L60" i="21" s="1"/>
  <c r="L61" i="21" a="1"/>
  <c r="L61" i="21" s="1"/>
  <c r="L62" i="21" a="1"/>
  <c r="L62" i="21" s="1"/>
  <c r="L63" i="21" a="1"/>
  <c r="L63" i="21" s="1"/>
  <c r="L64" i="21" a="1"/>
  <c r="L64" i="21" s="1"/>
  <c r="L65" i="21" a="1"/>
  <c r="L65" i="21" s="1"/>
  <c r="L66" i="21" a="1"/>
  <c r="L66" i="21" s="1"/>
  <c r="L67" i="21" a="1"/>
  <c r="L67" i="21" s="1"/>
  <c r="L68" i="21" a="1"/>
  <c r="L68" i="21" s="1"/>
  <c r="L69" i="21" a="1"/>
  <c r="L69" i="21" s="1"/>
  <c r="L70" i="21" a="1"/>
  <c r="L70" i="21" s="1"/>
  <c r="L71" i="21" a="1"/>
  <c r="L71" i="21" s="1"/>
  <c r="C11" i="13" l="1" a="1"/>
  <c r="C11" i="13" s="1"/>
  <c r="N11" i="26" s="1"/>
  <c r="N17" i="26"/>
  <c r="L17" i="26"/>
  <c r="N6" i="26"/>
  <c r="N7" i="26" s="1"/>
  <c r="N8" i="26" s="1"/>
  <c r="N9" i="26" s="1"/>
  <c r="R5" i="26" s="1"/>
  <c r="L6" i="26"/>
  <c r="L8" i="22"/>
  <c r="L9" i="22" s="1"/>
  <c r="L10" i="22" s="1"/>
  <c r="L11" i="22" s="1"/>
  <c r="I7" i="22" a="1"/>
  <c r="I7" i="22" s="1"/>
  <c r="C8" i="23"/>
  <c r="B16" i="19" a="1"/>
  <c r="B16" i="19" s="1"/>
  <c r="B15" i="19"/>
  <c r="B14" i="19"/>
  <c r="B13" i="19" a="1"/>
  <c r="B13" i="19" s="1"/>
  <c r="B12" i="19" a="1"/>
  <c r="B12" i="19" s="1"/>
  <c r="B7" i="19" a="1"/>
  <c r="B7" i="19" s="1"/>
  <c r="B9" i="18" a="1"/>
  <c r="B9" i="18" s="1"/>
  <c r="C24" i="17"/>
  <c r="E24" i="17" s="1"/>
  <c r="C21" i="17"/>
  <c r="E21" i="17" s="1"/>
  <c r="C18" i="17"/>
  <c r="E18" i="17" s="1"/>
  <c r="C9" i="17"/>
  <c r="C5" i="17"/>
  <c r="E5" i="17" s="1"/>
  <c r="O72" i="22"/>
  <c r="Q71" i="22" a="1"/>
  <c r="Q71" i="22" s="1"/>
  <c r="Q70" i="22" a="1"/>
  <c r="Q70" i="22" s="1"/>
  <c r="Q69" i="22" a="1"/>
  <c r="Q69" i="22" s="1"/>
  <c r="Q68" i="22" a="1"/>
  <c r="Q68" i="22" s="1"/>
  <c r="Q67" i="22" a="1"/>
  <c r="Q67" i="22" s="1"/>
  <c r="Q66" i="22" a="1"/>
  <c r="Q66" i="22" s="1"/>
  <c r="Q65" i="22" a="1"/>
  <c r="Q65" i="22" s="1"/>
  <c r="Q64" i="22" a="1"/>
  <c r="Q64" i="22" s="1"/>
  <c r="Q63" i="22" a="1"/>
  <c r="Q63" i="22" s="1"/>
  <c r="Q62" i="22" a="1"/>
  <c r="Q62" i="22" s="1"/>
  <c r="Q61" i="22" a="1"/>
  <c r="Q61" i="22" s="1"/>
  <c r="Q60" i="22" a="1"/>
  <c r="Q60" i="22" s="1"/>
  <c r="Q59" i="22" a="1"/>
  <c r="Q59" i="22" s="1"/>
  <c r="Q58" i="22" a="1"/>
  <c r="Q58" i="22" s="1"/>
  <c r="Q57" i="22" a="1"/>
  <c r="Q57" i="22" s="1"/>
  <c r="Q56" i="22" a="1"/>
  <c r="Q56" i="22" s="1"/>
  <c r="Q55" i="22" a="1"/>
  <c r="Q55" i="22" s="1"/>
  <c r="Q54" i="22" a="1"/>
  <c r="Q54" i="22" s="1"/>
  <c r="Q53" i="22" a="1"/>
  <c r="Q53" i="22" s="1"/>
  <c r="Q52" i="22" a="1"/>
  <c r="Q52" i="22" s="1"/>
  <c r="Q51" i="22" a="1"/>
  <c r="Q51" i="22" s="1"/>
  <c r="Q50" i="22" a="1"/>
  <c r="Q50" i="22" s="1"/>
  <c r="Q49" i="22" a="1"/>
  <c r="Q49" i="22" s="1"/>
  <c r="Q48" i="22" a="1"/>
  <c r="Q48" i="22" s="1"/>
  <c r="Q47" i="22" a="1"/>
  <c r="Q47" i="22" s="1"/>
  <c r="Q46" i="22" a="1"/>
  <c r="Q46" i="22" s="1"/>
  <c r="Q45" i="22" a="1"/>
  <c r="Q45" i="22" s="1"/>
  <c r="Q44" i="22" a="1"/>
  <c r="Q44" i="22" s="1"/>
  <c r="Q43" i="22" a="1"/>
  <c r="Q43" i="22" s="1"/>
  <c r="Q42" i="22" a="1"/>
  <c r="Q42" i="22" s="1"/>
  <c r="Q41" i="22" a="1"/>
  <c r="Q41" i="22" s="1"/>
  <c r="Q40" i="22" a="1"/>
  <c r="Q40" i="22" s="1"/>
  <c r="Q39" i="22" a="1"/>
  <c r="Q39" i="22" s="1"/>
  <c r="Q38" i="22" a="1"/>
  <c r="Q38" i="22" s="1"/>
  <c r="Q37" i="22" a="1"/>
  <c r="Q37" i="22" s="1"/>
  <c r="Q36" i="22" a="1"/>
  <c r="Q36" i="22" s="1"/>
  <c r="Q35" i="22" a="1"/>
  <c r="Q35" i="22" s="1"/>
  <c r="Q34" i="22" a="1"/>
  <c r="Q34" i="22" s="1"/>
  <c r="Q33" i="22" a="1"/>
  <c r="Q33" i="22" s="1"/>
  <c r="Q32" i="22" a="1"/>
  <c r="Q32" i="22" s="1"/>
  <c r="Q31" i="22" a="1"/>
  <c r="Q31" i="22" s="1"/>
  <c r="Q30" i="22" a="1"/>
  <c r="Q30" i="22" s="1"/>
  <c r="Q29" i="22" a="1"/>
  <c r="Q29" i="22" s="1"/>
  <c r="Q28" i="22" a="1"/>
  <c r="Q28" i="22" s="1"/>
  <c r="Q27" i="22" a="1"/>
  <c r="Q27" i="22" s="1"/>
  <c r="Q26" i="22" a="1"/>
  <c r="Q26" i="22" s="1"/>
  <c r="Q25" i="22" a="1"/>
  <c r="Q25" i="22" s="1"/>
  <c r="Q24" i="22" a="1"/>
  <c r="Q24" i="22" s="1"/>
  <c r="Q23" i="22" a="1"/>
  <c r="Q23" i="22" s="1"/>
  <c r="Q22" i="22" a="1"/>
  <c r="Q22" i="22" s="1"/>
  <c r="Q21" i="22" a="1"/>
  <c r="Q21" i="22" s="1"/>
  <c r="Q20" i="22" a="1"/>
  <c r="Q20" i="22" s="1"/>
  <c r="Q19" i="22" a="1"/>
  <c r="Q19" i="22" s="1"/>
  <c r="Q18" i="22" a="1"/>
  <c r="Q18" i="22" s="1"/>
  <c r="Q17" i="22" a="1"/>
  <c r="Q17" i="22" s="1"/>
  <c r="Q16" i="22" a="1"/>
  <c r="Q16" i="22" s="1"/>
  <c r="Q15" i="22" a="1"/>
  <c r="Q15" i="22" s="1"/>
  <c r="Q14" i="22" a="1"/>
  <c r="Q14" i="22" s="1"/>
  <c r="Q13" i="22" a="1"/>
  <c r="Q13" i="22" s="1"/>
  <c r="Q12" i="22" a="1"/>
  <c r="Q12" i="22" s="1"/>
  <c r="Q11" i="22" a="1"/>
  <c r="Q11" i="22" s="1"/>
  <c r="Q10" i="22" a="1"/>
  <c r="Q10" i="22" s="1"/>
  <c r="C5" i="19"/>
  <c r="Q9" i="22" a="1"/>
  <c r="Q9" i="22" s="1"/>
  <c r="Q8" i="22" a="1"/>
  <c r="Q8" i="22" s="1"/>
  <c r="Q7" i="22" a="1"/>
  <c r="Q7" i="22" s="1"/>
  <c r="Q6" i="22" a="1"/>
  <c r="Q6" i="22" s="1"/>
  <c r="Q5" i="22" a="1"/>
  <c r="Q5" i="22" s="1"/>
  <c r="C6" i="17"/>
  <c r="AZ4" i="22"/>
  <c r="Q4" i="22" a="1"/>
  <c r="Q4" i="22" s="1"/>
  <c r="AZ3" i="22"/>
  <c r="Q3" i="22" a="1"/>
  <c r="Q3" i="22" s="1"/>
  <c r="C6" i="23" l="1"/>
  <c r="D8" i="23"/>
  <c r="C9" i="19"/>
  <c r="D5" i="19"/>
  <c r="B13" i="17"/>
  <c r="E13" i="17" s="1" a="1"/>
  <c r="E13" i="17" s="1"/>
  <c r="C8" i="17"/>
  <c r="B8" i="17" s="1" a="1"/>
  <c r="B8" i="17" s="1"/>
  <c r="E9" i="17"/>
  <c r="E6" i="17"/>
  <c r="E10" i="17"/>
  <c r="C4" i="17"/>
  <c r="B4" i="17" s="1"/>
  <c r="L11" i="26"/>
  <c r="D4" i="15"/>
  <c r="L12" i="22"/>
  <c r="L13" i="22" s="1"/>
  <c r="L14" i="22" s="1"/>
  <c r="I18" i="22" a="1"/>
  <c r="I18" i="22" s="1"/>
  <c r="C20" i="17"/>
  <c r="B20" i="17" s="1" a="1"/>
  <c r="B20" i="17" s="1"/>
  <c r="C23" i="17"/>
  <c r="B23" i="17" s="1" a="1"/>
  <c r="B23" i="17" s="1"/>
  <c r="C19" i="17"/>
  <c r="C14" i="17"/>
  <c r="B5" i="19" a="1"/>
  <c r="B5" i="19" s="1"/>
  <c r="C8" i="19"/>
  <c r="D8" i="19" s="1"/>
  <c r="C26" i="13" a="1"/>
  <c r="C26" i="13" s="1"/>
  <c r="D31" i="13"/>
  <c r="C17" i="17" l="1"/>
  <c r="B17" i="17" s="1" a="1"/>
  <c r="B17" i="17" s="1"/>
  <c r="E19" i="17"/>
  <c r="N19" i="26"/>
  <c r="N20" i="26" s="1"/>
  <c r="R10" i="26" s="1"/>
  <c r="L19" i="26"/>
  <c r="N30" i="26"/>
  <c r="N32" i="26" s="1"/>
  <c r="N33" i="26" s="1"/>
  <c r="L30" i="26"/>
  <c r="L15" i="22"/>
  <c r="I11" i="22" a="1"/>
  <c r="I11" i="22" s="1"/>
  <c r="N48" i="26" l="1"/>
  <c r="T29" i="26" s="1"/>
  <c r="N50" i="26"/>
  <c r="P33" i="26"/>
  <c r="R29" i="26" s="1"/>
  <c r="N27" i="26"/>
  <c r="T5" i="26" s="1"/>
  <c r="L16" i="22"/>
  <c r="I4" i="22" a="1"/>
  <c r="I4" i="22" s="1"/>
  <c r="I17" i="22" a="1"/>
  <c r="I17" i="22" s="1"/>
  <c r="N51" i="26" l="1"/>
  <c r="V5" i="26"/>
  <c r="L17" i="22"/>
  <c r="I5" i="22" a="1"/>
  <c r="I5" i="22" s="1"/>
  <c r="N54" i="26" l="1"/>
  <c r="N55" i="26" s="1"/>
  <c r="N56" i="26" s="1"/>
  <c r="L18" i="22"/>
  <c r="L19" i="22" s="1"/>
  <c r="L20" i="22" s="1"/>
  <c r="L21" i="22" s="1"/>
  <c r="L22" i="22" s="1"/>
  <c r="I10" i="22" a="1"/>
  <c r="I10" i="22" s="1"/>
  <c r="B5" i="23" s="1" a="1"/>
  <c r="B5" i="23" s="1"/>
  <c r="N4" i="27" l="1"/>
  <c r="I4" i="23" a="1"/>
  <c r="I4" i="23" s="1"/>
  <c r="L4" i="23" s="1" a="1"/>
  <c r="L4" i="23" s="1"/>
  <c r="N74" i="26"/>
  <c r="X5" i="26"/>
  <c r="B94" i="26" l="1"/>
  <c r="AD33" i="26" s="1" a="1"/>
  <c r="AD33" i="26" s="1"/>
  <c r="N19" i="27"/>
  <c r="B31" i="27" s="1" a="1"/>
  <c r="B31" i="2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tc={57BD6BA0-C969-4933-9045-FA76B4C55DC7}</author>
  </authors>
  <commentList>
    <comment ref="N74" authorId="0" shapeId="0" xr:uid="{57BD6BA0-C969-4933-9045-FA76B4C55DC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Overall rating score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<sst xmlns="http://schemas.openxmlformats.org/spreadsheetml/2006/main" count="1275" uniqueCount="468">
  <si>
    <t>Concentration Risk</t>
  </si>
  <si>
    <t>Diversity of investor base</t>
  </si>
  <si>
    <t>Track record, type of lenders and terms &amp; conditions</t>
  </si>
  <si>
    <t>Availability of credit lines</t>
  </si>
  <si>
    <t>Cost of funding relative to peers</t>
  </si>
  <si>
    <t>Capacity to readily sell assets</t>
  </si>
  <si>
    <t>Availability of Liquid Resources</t>
  </si>
  <si>
    <t>Other</t>
  </si>
  <si>
    <t>Total Assets</t>
  </si>
  <si>
    <t>Algeria</t>
  </si>
  <si>
    <t>Bahrain</t>
  </si>
  <si>
    <t>Egypt</t>
  </si>
  <si>
    <t>Jordan</t>
  </si>
  <si>
    <t>Kuwait</t>
  </si>
  <si>
    <t>Lebanon</t>
  </si>
  <si>
    <t>Libya</t>
  </si>
  <si>
    <t>Mauritania</t>
  </si>
  <si>
    <t>Morocco</t>
  </si>
  <si>
    <t>Oman</t>
  </si>
  <si>
    <t>Palestine</t>
  </si>
  <si>
    <t>Qatar</t>
  </si>
  <si>
    <t>Saudi Arabia</t>
  </si>
  <si>
    <t>Sudan</t>
  </si>
  <si>
    <t>Syria</t>
  </si>
  <si>
    <t>Tunisia</t>
  </si>
  <si>
    <t>The United Arab Emirates</t>
  </si>
  <si>
    <t>Iraq</t>
  </si>
  <si>
    <t>West africa</t>
  </si>
  <si>
    <t>Central Africa</t>
  </si>
  <si>
    <t>CAPITAL POSITION</t>
  </si>
  <si>
    <t>Assets</t>
  </si>
  <si>
    <t>DEVELOPMENT ASSET CREDIT QUALITY</t>
  </si>
  <si>
    <t>Rating</t>
  </si>
  <si>
    <t>Member States</t>
  </si>
  <si>
    <t>Diversity of Geographies and Sectors</t>
  </si>
  <si>
    <t>Exposure to Riskier Types of Assets</t>
  </si>
  <si>
    <t>Equity investments</t>
  </si>
  <si>
    <t>Development Assets</t>
  </si>
  <si>
    <t>Weight of Top obligor of Total Development Assets</t>
  </si>
  <si>
    <t>Weight of Top 10 obligors of Total Development Assets</t>
  </si>
  <si>
    <t>ASSET PERFORMANCE</t>
  </si>
  <si>
    <t>Liquid Assets</t>
  </si>
  <si>
    <t>Track record of bond inssuance</t>
  </si>
  <si>
    <t>Presence in international bond markets</t>
  </si>
  <si>
    <t>Premium over risk-free equivalents</t>
  </si>
  <si>
    <t>Diversity of funding sources</t>
  </si>
  <si>
    <t>Access to non-local markets</t>
  </si>
  <si>
    <t>Investor Type, Investor Strategy, Investor Nationality</t>
  </si>
  <si>
    <t>ABILITY TO SUPPORT</t>
  </si>
  <si>
    <t>Ability to extend financial assistance</t>
  </si>
  <si>
    <t>Willingness to Support</t>
  </si>
  <si>
    <t>Contractual Support</t>
  </si>
  <si>
    <t>Callable capital</t>
  </si>
  <si>
    <t>Total Debt</t>
  </si>
  <si>
    <t>Non-Contractual Support</t>
  </si>
  <si>
    <t>Baa</t>
  </si>
  <si>
    <t>CAPITALISATION</t>
  </si>
  <si>
    <t>Equity to Assets</t>
  </si>
  <si>
    <t>Usable Capital to Weighted Assets</t>
  </si>
  <si>
    <t>Equity</t>
  </si>
  <si>
    <t>Total Assets net of the fair value of derivative instruments</t>
  </si>
  <si>
    <t>Weighted Assets</t>
  </si>
  <si>
    <t>RISKS</t>
  </si>
  <si>
    <t>Credit Risk</t>
  </si>
  <si>
    <t>Other risk mitigants</t>
  </si>
  <si>
    <t>Outstanding impaired (or non-performing) loans</t>
  </si>
  <si>
    <t>Total Outstanding loans</t>
  </si>
  <si>
    <t>Five largest exposures</t>
  </si>
  <si>
    <t>Total banking portfolio</t>
  </si>
  <si>
    <t>Other Risks</t>
  </si>
  <si>
    <t>Equity Stakes</t>
  </si>
  <si>
    <t>LIQUIDITY BUFFER</t>
  </si>
  <si>
    <t>Liquid Assets as a Percentage of Short-Term Debt</t>
  </si>
  <si>
    <t>Short-term Debt</t>
  </si>
  <si>
    <t>LIQUID ASSETS QUALITY</t>
  </si>
  <si>
    <t>Share of Treasury Assets Rated ‘AAA’/‘AA’</t>
  </si>
  <si>
    <t>Treasury Assets Rated 'AAA/AA'</t>
  </si>
  <si>
    <t>Ineffective loans</t>
  </si>
  <si>
    <t>Trade Finance</t>
  </si>
  <si>
    <t>Term Deposits and Call Accounts</t>
  </si>
  <si>
    <t>Bond spread</t>
  </si>
  <si>
    <t>Valuation of financial instruments</t>
  </si>
  <si>
    <t>Frequency and ease of placements of debt on the market</t>
  </si>
  <si>
    <t>Diversification of the investor base</t>
  </si>
  <si>
    <t>Alternative sources of liquidity: unused bank facilities, access to a central bank’s re-financing window</t>
  </si>
  <si>
    <t>ADJUSTMENTS: ACCESS TO CAPITAL MARKETS AND ALTERNATIVE SOURCES OF LIQUIDITY</t>
  </si>
  <si>
    <t>Business Profile</t>
  </si>
  <si>
    <t>Operating Environment</t>
  </si>
  <si>
    <t>SUPPORT CREDIT RATING</t>
  </si>
  <si>
    <t>Capacity of Shareholders to Provide Extraordinary Support</t>
  </si>
  <si>
    <t>Weighted average rating of the ultimate providers of support</t>
  </si>
  <si>
    <t>Net Debt</t>
  </si>
  <si>
    <t>Callable Capital</t>
  </si>
  <si>
    <t>Propensity of Shareholders to Support</t>
  </si>
  <si>
    <t>Senegal</t>
  </si>
  <si>
    <t>Mozambique</t>
  </si>
  <si>
    <t>Burkina Faso</t>
  </si>
  <si>
    <t>Tanzania</t>
  </si>
  <si>
    <t>Mali</t>
  </si>
  <si>
    <t>Guinea</t>
  </si>
  <si>
    <t>Rwanda</t>
  </si>
  <si>
    <t>Total Top 10</t>
  </si>
  <si>
    <t>Countries</t>
  </si>
  <si>
    <t>Non-Performing Assets</t>
  </si>
  <si>
    <t>Aa</t>
  </si>
  <si>
    <t>B2</t>
  </si>
  <si>
    <t>Caa1</t>
  </si>
  <si>
    <t>Aa3</t>
  </si>
  <si>
    <t>A1</t>
  </si>
  <si>
    <t>Ba1</t>
  </si>
  <si>
    <t>Ba3</t>
  </si>
  <si>
    <t>Aa2</t>
  </si>
  <si>
    <t>B1</t>
  </si>
  <si>
    <t>Caa</t>
  </si>
  <si>
    <t>In 2019 (USD)</t>
  </si>
  <si>
    <t xml:space="preserve">Leverage ratio </t>
  </si>
  <si>
    <t>A</t>
  </si>
  <si>
    <t>Uganda</t>
  </si>
  <si>
    <t>Niger</t>
  </si>
  <si>
    <t>Total of Loans</t>
  </si>
  <si>
    <t>Aaa</t>
  </si>
  <si>
    <t>MOODY'S</t>
  </si>
  <si>
    <t>RATE</t>
  </si>
  <si>
    <t>AAA</t>
  </si>
  <si>
    <t>Lesotho</t>
  </si>
  <si>
    <t>Madagascar</t>
  </si>
  <si>
    <t>Malawi</t>
  </si>
  <si>
    <t>Mauritus</t>
  </si>
  <si>
    <t>Namibia</t>
  </si>
  <si>
    <t>Nigeria</t>
  </si>
  <si>
    <t>Seychelles</t>
  </si>
  <si>
    <t>Sierra Leone</t>
  </si>
  <si>
    <t>Sao Tome and Principe</t>
  </si>
  <si>
    <t>Swaziland</t>
  </si>
  <si>
    <t>Togo</t>
  </si>
  <si>
    <t>Zambia</t>
  </si>
  <si>
    <t>Zimbabwe</t>
  </si>
  <si>
    <t>BOAD</t>
  </si>
  <si>
    <t>EADB</t>
  </si>
  <si>
    <t>BRD</t>
  </si>
  <si>
    <t>BDEAC</t>
  </si>
  <si>
    <t>PTA</t>
  </si>
  <si>
    <t>Eco Bank Group</t>
  </si>
  <si>
    <t>AFC</t>
  </si>
  <si>
    <t>SONIBANK</t>
  </si>
  <si>
    <t>TIB</t>
  </si>
  <si>
    <t>UDBL</t>
  </si>
  <si>
    <t>BIDC</t>
  </si>
  <si>
    <t>LBDI</t>
  </si>
  <si>
    <t>CNCAS</t>
  </si>
  <si>
    <t>BMS</t>
  </si>
  <si>
    <t>BDM</t>
  </si>
  <si>
    <t>SODECOTON</t>
  </si>
  <si>
    <t>HFC</t>
  </si>
  <si>
    <t>NORSAD</t>
  </si>
  <si>
    <t>ACCESS BANK GHANA</t>
  </si>
  <si>
    <t>TAMWEEL AFRICA HOLDING</t>
  </si>
  <si>
    <t>SONACOS/ITFC</t>
  </si>
  <si>
    <t>RAW Bank</t>
  </si>
  <si>
    <t>CORIS Bank International</t>
  </si>
  <si>
    <t>Sterling Bank PLC</t>
  </si>
  <si>
    <t>BRM</t>
  </si>
  <si>
    <t>BNI</t>
  </si>
  <si>
    <t>Balance 2019 USD '000</t>
  </si>
  <si>
    <t>Aa1</t>
  </si>
  <si>
    <t>A2</t>
  </si>
  <si>
    <t>A3</t>
  </si>
  <si>
    <t>Baa1</t>
  </si>
  <si>
    <t>Baa2</t>
  </si>
  <si>
    <t>Baa3</t>
  </si>
  <si>
    <t>Ba2</t>
  </si>
  <si>
    <t>B3</t>
  </si>
  <si>
    <t>Caa2</t>
  </si>
  <si>
    <t>Caa3</t>
  </si>
  <si>
    <t>Ca</t>
  </si>
  <si>
    <t>C</t>
  </si>
  <si>
    <t>TOTAL</t>
  </si>
  <si>
    <t>Credit Quality of the Development Assets</t>
  </si>
  <si>
    <t>Members' countries equity</t>
  </si>
  <si>
    <t>Contribution as of 2019</t>
  </si>
  <si>
    <t>Contribution in the African Export And Import Bank (AFREXIM)</t>
  </si>
  <si>
    <t>Contribution in in Arab Investment &amp; Export Credit (Guarantee Corporation)</t>
  </si>
  <si>
    <t>FITCH</t>
  </si>
  <si>
    <t>Weak</t>
  </si>
  <si>
    <t xml:space="preserve">Size of Banking portfolio </t>
  </si>
  <si>
    <t>Quality of governance</t>
  </si>
  <si>
    <t>Strategy – growth objectives, sectoral/geographical targets</t>
  </si>
  <si>
    <t>Relative size of non-sovereign sector financing (loans, guarantees, equity participations)</t>
  </si>
  <si>
    <t>Importance of the public mandate</t>
  </si>
  <si>
    <t>Average credit quality</t>
  </si>
  <si>
    <t>Income per head category</t>
  </si>
  <si>
    <t>Political risk and business climate in country of head office</t>
  </si>
  <si>
    <t>Political risk and business climate in countries of operations</t>
  </si>
  <si>
    <t>Operational support provided by countries’ authorities to the MDB</t>
  </si>
  <si>
    <t>Low risk</t>
  </si>
  <si>
    <t>Fair value of derivatives</t>
  </si>
  <si>
    <t>Cash in hand and at banks</t>
  </si>
  <si>
    <t>Other Assets (Unrecovered VAT on project)</t>
  </si>
  <si>
    <t>Other Assets (Others)</t>
  </si>
  <si>
    <t>Weighted Average Rating of Loans and Guarantees</t>
  </si>
  <si>
    <t>AA</t>
  </si>
  <si>
    <t>BBB</t>
  </si>
  <si>
    <t>BB</t>
  </si>
  <si>
    <t>B</t>
  </si>
  <si>
    <t>CCC</t>
  </si>
  <si>
    <t>CC</t>
  </si>
  <si>
    <t>Very Low</t>
  </si>
  <si>
    <t>Low</t>
  </si>
  <si>
    <t>Moderate</t>
  </si>
  <si>
    <t>High</t>
  </si>
  <si>
    <t>Fitch Rating Scale</t>
  </si>
  <si>
    <t>Borrower Rating</t>
  </si>
  <si>
    <t>NA</t>
  </si>
  <si>
    <t>IndexNPL</t>
  </si>
  <si>
    <t>IndexBorrower</t>
  </si>
  <si>
    <t>NPL_UpperBound</t>
  </si>
  <si>
    <t>Concentration_UpperBound</t>
  </si>
  <si>
    <t>IndexConcentration</t>
  </si>
  <si>
    <t>Balance 2019 USD</t>
  </si>
  <si>
    <t>Angola</t>
  </si>
  <si>
    <t>Benin</t>
  </si>
  <si>
    <t>Botswana</t>
  </si>
  <si>
    <t>Burundi</t>
  </si>
  <si>
    <t>Burkina faso</t>
  </si>
  <si>
    <t>Chad</t>
  </si>
  <si>
    <t>Cameroon</t>
  </si>
  <si>
    <t>Congo Brazzaville</t>
  </si>
  <si>
    <t>Democratic Republic of Congo</t>
  </si>
  <si>
    <t>Comoros</t>
  </si>
  <si>
    <t>Cape Verde</t>
  </si>
  <si>
    <t>Equatorial Guinea</t>
  </si>
  <si>
    <t>Eritrea</t>
  </si>
  <si>
    <t>Ethiopia</t>
  </si>
  <si>
    <t>Gabon</t>
  </si>
  <si>
    <t>Ghana</t>
  </si>
  <si>
    <t>Gambia</t>
  </si>
  <si>
    <t>Guinea Bissau</t>
  </si>
  <si>
    <t>Ivory Coast</t>
  </si>
  <si>
    <t>Kenya</t>
  </si>
  <si>
    <t>Liberia</t>
  </si>
  <si>
    <t>Equity_UpperBound</t>
  </si>
  <si>
    <t>Index_Equity</t>
  </si>
  <si>
    <t>Strong</t>
  </si>
  <si>
    <t>Excellent</t>
  </si>
  <si>
    <t>PortfolioSize_UpperBound</t>
  </si>
  <si>
    <t>Index_PortfolioSize</t>
  </si>
  <si>
    <t>Low Risk</t>
  </si>
  <si>
    <t>Medium Risk</t>
  </si>
  <si>
    <t>High Risk</t>
  </si>
  <si>
    <t>Opaque</t>
  </si>
  <si>
    <t>QualityOfGovernance</t>
  </si>
  <si>
    <t>Index_QualityOfGovernance</t>
  </si>
  <si>
    <t>Growth</t>
  </si>
  <si>
    <t>Index_Growth</t>
  </si>
  <si>
    <t>EnvironmentCredit</t>
  </si>
  <si>
    <t>Index_EnvironmentCredit</t>
  </si>
  <si>
    <t>IncomeCategory</t>
  </si>
  <si>
    <t>Index_IncomeCategory</t>
  </si>
  <si>
    <t>High Income</t>
  </si>
  <si>
    <t>Middle Income</t>
  </si>
  <si>
    <t>Low Income</t>
  </si>
  <si>
    <t>Index_AA_Liquidity</t>
  </si>
  <si>
    <t>AA_Liquidity_UpperBound</t>
  </si>
  <si>
    <t>OperationalSUpport</t>
  </si>
  <si>
    <t>Index_operationalSupport</t>
  </si>
  <si>
    <t>Low or Limited</t>
  </si>
  <si>
    <t>Very Strong</t>
  </si>
  <si>
    <t>Very Weak</t>
  </si>
  <si>
    <t>Net loan balances</t>
  </si>
  <si>
    <t>Provisions</t>
  </si>
  <si>
    <t>Gross Loans</t>
  </si>
  <si>
    <t>Usable capital</t>
  </si>
  <si>
    <t>Guarantees</t>
  </si>
  <si>
    <t>Total other assets</t>
  </si>
  <si>
    <t>Loan Impairment Ratio</t>
  </si>
  <si>
    <t>Slow Growth</t>
  </si>
  <si>
    <t>Moderate Growth</t>
  </si>
  <si>
    <t>Rapid Growth</t>
  </si>
  <si>
    <t>Moody's Rating Scale</t>
  </si>
  <si>
    <t>Ba</t>
  </si>
  <si>
    <t>Leverage_UpperBound</t>
  </si>
  <si>
    <t>Well</t>
  </si>
  <si>
    <t>Extremely Well</t>
  </si>
  <si>
    <t>Very Well</t>
  </si>
  <si>
    <t>Somewhat</t>
  </si>
  <si>
    <t>Sectoral_Geo_Diversification</t>
  </si>
  <si>
    <t>Index_Sectoral_Geo_Diversification</t>
  </si>
  <si>
    <t>Bond securities</t>
  </si>
  <si>
    <t>Sukuks</t>
  </si>
  <si>
    <t>Balance Sheet Items</t>
  </si>
  <si>
    <t>Total Treasury assets</t>
  </si>
  <si>
    <t>Complex</t>
  </si>
  <si>
    <t>Very Transparent</t>
  </si>
  <si>
    <t>UAE</t>
  </si>
  <si>
    <t>BB-</t>
  </si>
  <si>
    <t>B+</t>
  </si>
  <si>
    <t>B-</t>
  </si>
  <si>
    <t>AA-</t>
  </si>
  <si>
    <t>BBB-</t>
  </si>
  <si>
    <t>Rating Moody's</t>
  </si>
  <si>
    <t>Rating Fitch</t>
  </si>
  <si>
    <t>Score</t>
  </si>
  <si>
    <t>AA+</t>
  </si>
  <si>
    <t>A+</t>
  </si>
  <si>
    <t>A-</t>
  </si>
  <si>
    <t>BBB+</t>
  </si>
  <si>
    <t>BB+</t>
  </si>
  <si>
    <t>CCC+</t>
  </si>
  <si>
    <t>CCC-</t>
  </si>
  <si>
    <t>EquityToAssets</t>
  </si>
  <si>
    <t>Index_EquityToAssets</t>
  </si>
  <si>
    <t>UsableCapitalToWeightedAssets</t>
  </si>
  <si>
    <t>Index_UsableCapitalToWeightedAssets</t>
  </si>
  <si>
    <t>PreferedCreditorStatus</t>
  </si>
  <si>
    <t>Index_PreferedCreditorStatus</t>
  </si>
  <si>
    <t>Well diversified</t>
  </si>
  <si>
    <t>ExposureToRiskierTypes of Assets</t>
  </si>
  <si>
    <t>Index</t>
  </si>
  <si>
    <t>Index_ExposureToRiskierTypes of Assets</t>
  </si>
  <si>
    <t>ConcentrationTopObligor</t>
  </si>
  <si>
    <t>ConcentrationTop10Obligors</t>
  </si>
  <si>
    <t>NPA_Ratio</t>
  </si>
  <si>
    <t>Liquidity_Ratio</t>
  </si>
  <si>
    <t>InvestorBaseDiversity</t>
  </si>
  <si>
    <t>Highly</t>
  </si>
  <si>
    <t>Local Only</t>
  </si>
  <si>
    <t>Handful</t>
  </si>
  <si>
    <t>Very Limited</t>
  </si>
  <si>
    <t>Quality of Management</t>
  </si>
  <si>
    <t>Superior Quality of Management</t>
  </si>
  <si>
    <t>Developing Management Quality</t>
  </si>
  <si>
    <t>Weaker Quality of Management</t>
  </si>
  <si>
    <t>Contribution in DFIs</t>
  </si>
  <si>
    <t>Fair Value of derivative instruments + Accrued interest</t>
  </si>
  <si>
    <t>Rating of Fixed Income securities and Sukuks</t>
  </si>
  <si>
    <t>Fixed Income securities and Sukuks rated AAA</t>
  </si>
  <si>
    <t>Fixed Income securities and Sukuks rated AA</t>
  </si>
  <si>
    <t>Fixed Income securities and Sukuks rated A</t>
  </si>
  <si>
    <t>Fixed Income securities and Sukuks rated BBB</t>
  </si>
  <si>
    <t>Fixed Income securities and Sukuks rated BB or lower</t>
  </si>
  <si>
    <t>Securities equity</t>
  </si>
  <si>
    <t>Usable Equity</t>
  </si>
  <si>
    <t xml:space="preserve">Analytical Ajudstments </t>
  </si>
  <si>
    <t>(i) Forward-looking view of leverage</t>
  </si>
  <si>
    <t>(ii) Profit and Loss track recordover several years and expectation of future profitability levels</t>
  </si>
  <si>
    <t>WEIGHT</t>
  </si>
  <si>
    <t>FACTOR</t>
  </si>
  <si>
    <t>Total</t>
  </si>
  <si>
    <t>Judgment</t>
  </si>
  <si>
    <t>Financial Statements Items</t>
  </si>
  <si>
    <t>East Africa</t>
  </si>
  <si>
    <t>Southern Africa</t>
  </si>
  <si>
    <t>Development assets</t>
  </si>
  <si>
    <t>[+3 to -3 notches]</t>
  </si>
  <si>
    <t>[+0 to -3 notches]</t>
  </si>
  <si>
    <t>(ii) Excessive growth (&gt;10 %)</t>
  </si>
  <si>
    <t>(i) Forward-looking view of asset performance, typically over a two-year forward horizon</t>
  </si>
  <si>
    <t>10% to 35%</t>
  </si>
  <si>
    <t>Net cash generated from in investing activities</t>
  </si>
  <si>
    <t>Net other assets</t>
  </si>
  <si>
    <t>Other liabilities, net of appropriation</t>
  </si>
  <si>
    <t>Net provision for end of service benefits</t>
  </si>
  <si>
    <t>(i) Forward looking view of liquid asset coverage over 3 years</t>
  </si>
  <si>
    <t>(ii) Presence of special liquidity mechanisms that effectively mitigate liquidity risk, liquidity provider credit quality has to be a Baa3-equivalent or higher</t>
  </si>
  <si>
    <t>Quality and Structure of Funding</t>
  </si>
  <si>
    <t>[+1 to -2 notches]</t>
  </si>
  <si>
    <t>(i) Presence of strong enforcement mechanism</t>
  </si>
  <si>
    <t xml:space="preserve">(ii) Presence of payment enhancements (if those covers at least 30 % of the callable capital) </t>
  </si>
  <si>
    <t>Weighted Average Shareholder Rating</t>
  </si>
  <si>
    <t>Payments capital</t>
  </si>
  <si>
    <t>Year</t>
  </si>
  <si>
    <t>Judgement</t>
  </si>
  <si>
    <t>Balance 2019 (in USD)</t>
  </si>
  <si>
    <t>2019 (in USD)</t>
  </si>
  <si>
    <t>Equivalent (scale)</t>
  </si>
  <si>
    <t>Securities Equity</t>
  </si>
  <si>
    <t>Preferred-Creditor Status</t>
  </si>
  <si>
    <t>Congo</t>
  </si>
  <si>
    <t>[+1 to -1 notch]</t>
  </si>
  <si>
    <t>[+3; -3 notches]</t>
  </si>
  <si>
    <t>Forward estimate of the quality of development assets, typically over a two-year forward horizon</t>
  </si>
  <si>
    <t>[+2 to -2 notches]</t>
  </si>
  <si>
    <t>[+3 to +0 notch]</t>
  </si>
  <si>
    <t>[+1 to + 0 notch]</t>
  </si>
  <si>
    <t>[+2 to +0 notch]</t>
  </si>
  <si>
    <t>Rating of Loans and Guarantees</t>
  </si>
  <si>
    <t>Strength of 
Member 
Support</t>
  </si>
  <si>
    <t>Non-contractual Support</t>
  </si>
  <si>
    <t>Notch</t>
  </si>
  <si>
    <t>Very High</t>
  </si>
  <si>
    <t>Overall Strength of Member support</t>
  </si>
  <si>
    <t>Ultimate Qualitative Assessment</t>
  </si>
  <si>
    <t>[+0 to +1 notch]</t>
  </si>
  <si>
    <t>[+0 to -1 notch]</t>
  </si>
  <si>
    <t>[+0 to -2 notches]</t>
  </si>
  <si>
    <t>Develoment 
Asset 
Credit 
Quality</t>
  </si>
  <si>
    <t>Capital Position</t>
  </si>
  <si>
    <t>Asset Performance</t>
  </si>
  <si>
    <t>Availability of 
Liquid Resources</t>
  </si>
  <si>
    <t>Qualtity and 
Structure of Funding</t>
  </si>
  <si>
    <t>Qualitative Adjustments</t>
  </si>
  <si>
    <t>Qualtity of 
Management</t>
  </si>
  <si>
    <t>Non Contractual Support</t>
  </si>
  <si>
    <t>Ability to Support</t>
  </si>
  <si>
    <t>Overall Stength of 
Member Support</t>
  </si>
  <si>
    <t>Preliminary Intrinsic 
Financial Strength</t>
  </si>
  <si>
    <t>Weighted Averages</t>
  </si>
  <si>
    <t>Weights</t>
  </si>
  <si>
    <t>Perfect Scores</t>
  </si>
  <si>
    <t>Qualitative Adjusted 
Intrinsic 
Financial Strength</t>
  </si>
  <si>
    <t>Rating Range</t>
  </si>
  <si>
    <t>Overall Performance</t>
  </si>
  <si>
    <t>Liquidity and 
funding</t>
  </si>
  <si>
    <t>Capital 
Adequacy</t>
  </si>
  <si>
    <t>Segment Performance</t>
  </si>
  <si>
    <t>Evaluation Segments</t>
  </si>
  <si>
    <t xml:space="preserve">Overall Qualitative Assessment of the Strength of Member Support </t>
  </si>
  <si>
    <t>Medium</t>
  </si>
  <si>
    <t>aaa/aa</t>
  </si>
  <si>
    <t>aa/a</t>
  </si>
  <si>
    <t>a/bbb</t>
  </si>
  <si>
    <t>bbb/bb</t>
  </si>
  <si>
    <t>bb/b</t>
  </si>
  <si>
    <t>Risks</t>
  </si>
  <si>
    <t>Capitalisation</t>
  </si>
  <si>
    <t>Solvency Matrix</t>
  </si>
  <si>
    <t>Liquidity Matrix</t>
  </si>
  <si>
    <t>Liquidity buffer</t>
  </si>
  <si>
    <t>Liquid Assets
Quality</t>
  </si>
  <si>
    <t xml:space="preserve"> Business Environ. 
Assessment Matrix </t>
  </si>
  <si>
    <t>Operating environment</t>
  </si>
  <si>
    <t>Gov. &amp; Business profile</t>
  </si>
  <si>
    <t>-3 to -2</t>
  </si>
  <si>
    <t>-2 to -1</t>
  </si>
  <si>
    <t>-1 to +1</t>
  </si>
  <si>
    <t>+1 to +2</t>
  </si>
  <si>
    <t>+2 to +3</t>
  </si>
  <si>
    <t>Solvency</t>
  </si>
  <si>
    <t>Liquidity 
Assessment</t>
  </si>
  <si>
    <t xml:space="preserve">Lower of Solvency and Liquidity Assessments </t>
  </si>
  <si>
    <t>aa</t>
  </si>
  <si>
    <t>Liquidity Buffer</t>
  </si>
  <si>
    <t>Liquid Assets Quality</t>
  </si>
  <si>
    <t>Governance &amp; Business Profile</t>
  </si>
  <si>
    <t xml:space="preserve">Business Environment </t>
  </si>
  <si>
    <t>aaa/aaa</t>
  </si>
  <si>
    <t>b/ccc</t>
  </si>
  <si>
    <t>-2</t>
  </si>
  <si>
    <t>Support Credit Rating</t>
  </si>
  <si>
    <t>Coverage of Net Debt by Callable Capital</t>
  </si>
  <si>
    <t>Intrinsic rating</t>
  </si>
  <si>
    <t>Choose from dropdown list</t>
  </si>
  <si>
    <t>Final Issuer Default Rating (Higher of Intrinsic and Support Credit Rating)</t>
  </si>
  <si>
    <t>Access to Capital Markets and Alternative Sources of Liquidity</t>
  </si>
  <si>
    <t>Capital Payments</t>
  </si>
  <si>
    <t>Expected Capital Payments</t>
  </si>
  <si>
    <t>Capital Arrears</t>
  </si>
  <si>
    <t>IndexShareholderRating</t>
  </si>
  <si>
    <t>Index_FinalRating</t>
  </si>
  <si>
    <t>Index_ContractualSupport</t>
  </si>
  <si>
    <t>Index_NonContractualSupport</t>
  </si>
  <si>
    <t>Expected 5-Year Capital increase in 2013 (in USD)</t>
  </si>
  <si>
    <t>Overall Strength of Member Support Rating</t>
  </si>
  <si>
    <t xml:space="preserve">Non-Contractual Support Rating </t>
  </si>
  <si>
    <t xml:space="preserve">Willingness to Support Rating </t>
  </si>
  <si>
    <t>Projected Net Cash Outflows</t>
  </si>
  <si>
    <t>Borrowers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</si>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</sst>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0,000"/>
    <numFmt numFmtId="167" formatCode="0.0"/>
    <numFmt numFmtId="168" formatCode="#,##0&quot; notches&quot;"/>
    <numFmt numFmtId="169" formatCode="General\&amp;&quot;notches&quot;"/>
  </numFmts>
  <fonts count="38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FA7D00"/>
      <name val="Arial"/>
      <family val="2"/>
      <scheme val="minor"/>
    </font>
    <font>
      <b/>
      <sz val="11"/>
      <color theme="0"/>
      <name val="Helvetica Neue Light"/>
    </font>
    <font>
      <sz val="11"/>
      <color theme="1"/>
      <name val="Helvetica Neue Light"/>
    </font>
    <font>
      <b/>
      <sz val="11"/>
      <color theme="1"/>
      <name val="Helvetica Neue Light"/>
    </font>
    <font>
      <b/>
      <sz val="11"/>
      <name val="Helvetica Neue Light"/>
    </font>
    <font>
      <b/>
      <sz val="11"/>
      <color rgb="FF801E1E"/>
      <name val="Helvetica Neue Light"/>
    </font>
    <font>
      <i/>
      <sz val="11"/>
      <color theme="1"/>
      <name val="Helvetica Neue Light"/>
    </font>
    <font>
      <sz val="11"/>
      <color rgb="FF3F3F76"/>
      <name val="Helvetica Neue Light"/>
    </font>
    <font>
      <sz val="11"/>
      <name val="Helvetica Neue Light"/>
    </font>
    <font>
      <i/>
      <sz val="11"/>
      <color theme="0"/>
      <name val="Helvetica Neue Light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4"/>
      <color theme="0"/>
      <name val="Helvetica Neue Light"/>
    </font>
    <font>
      <b/>
      <sz val="14"/>
      <name val="Helvetica Neue Light"/>
    </font>
    <font>
      <b/>
      <sz val="14"/>
      <color rgb="FF801E1E"/>
      <name val="Helvetica Neue Light"/>
    </font>
    <font>
      <sz val="14"/>
      <color theme="1"/>
      <name val="Helvetica Neue Light"/>
    </font>
    <font>
      <sz val="14"/>
      <color rgb="FF3F3F76"/>
      <name val="Arial"/>
      <family val="2"/>
      <scheme val="minor"/>
    </font>
    <font>
      <b/>
      <sz val="11"/>
      <color rgb="FF801E1E"/>
      <name val="Arial"/>
      <family val="2"/>
      <scheme val="minor"/>
    </font>
    <font>
      <b/>
      <sz val="18"/>
      <color rgb="FF801E1E"/>
      <name val="Arial"/>
      <family val="2"/>
      <scheme val="minor"/>
    </font>
    <font>
      <b/>
      <sz val="26"/>
      <color theme="0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8"/>
      <name val="Helvetica Neue Light"/>
    </font>
    <font>
      <b/>
      <sz val="72"/>
      <color rgb="FFFF0000"/>
      <name val="Arial"/>
      <family val="2"/>
      <scheme val="minor"/>
    </font>
    <font>
      <b/>
      <sz val="36"/>
      <color theme="0"/>
      <name val="Arial"/>
      <family val="2"/>
      <scheme val="minor"/>
    </font>
    <font>
      <b/>
      <sz val="28"/>
      <color theme="1"/>
      <name val="Arial"/>
      <family val="2"/>
      <scheme val="minor"/>
    </font>
    <font>
      <b/>
      <sz val="36"/>
      <color theme="1"/>
      <name val="Arial"/>
      <family val="2"/>
      <scheme val="minor"/>
    </font>
    <font>
      <sz val="36"/>
      <color rgb="FF3F3F76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color rgb="FFFF0000"/>
      <name val="Helvetica Neue Light"/>
    </font>
    <font>
      <sz val="8"/>
      <name val="Arial"/>
      <family val="2"/>
      <scheme val="minor"/>
    </font>
    <font>
      <sz val="11"/>
      <color rgb="FF801E1E"/>
      <name val="Arial"/>
      <family val="2"/>
      <scheme val="minor"/>
    </font>
    <font>
      <b/>
      <sz val="70"/>
      <color rgb="FFFF0000"/>
      <name val="Arial"/>
      <family val="2"/>
      <scheme val="minor"/>
    </font>
    <font>
      <b/>
      <sz val="11"/>
      <color rgb="FFFF0000"/>
      <name val="Helvetica Neue Light"/>
    </font>
  </fonts>
  <fills count="1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801E1E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CC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801E1E"/>
      </left>
      <right style="thin">
        <color rgb="FF801E1E"/>
      </right>
      <top style="thin">
        <color rgb="FF801E1E"/>
      </top>
      <bottom/>
      <diagonal/>
    </border>
    <border>
      <left style="thin">
        <color rgb="FF801E1E"/>
      </left>
      <right style="thin">
        <color rgb="FF801E1E"/>
      </right>
      <top/>
      <bottom/>
      <diagonal/>
    </border>
    <border>
      <left style="thin">
        <color rgb="FF801E1E"/>
      </left>
      <right style="thin">
        <color rgb="FF801E1E"/>
      </right>
      <top/>
      <bottom style="thin">
        <color rgb="FF801E1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6">
    <xf numFmtId="0" fontId="0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5" borderId="3" applyNumberFormat="0" applyAlignment="0" applyProtection="0"/>
    <xf numFmtId="0" fontId="3" fillId="6" borderId="3" applyNumberFormat="0" applyAlignment="0" applyProtection="0"/>
  </cellStyleXfs>
  <cellXfs count="236">
    <xf numFmtId="0" fontId="0" fillId="0" borderId="0" xfId="0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0" applyFont="1"/>
    <xf numFmtId="0" fontId="4" fillId="2" borderId="1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4" borderId="1" xfId="0" applyFont="1" applyFill="1" applyBorder="1"/>
    <xf numFmtId="41" fontId="5" fillId="0" borderId="1" xfId="1" applyFont="1" applyBorder="1"/>
    <xf numFmtId="0" fontId="5" fillId="4" borderId="1" xfId="0" applyFont="1" applyFill="1" applyBorder="1" applyAlignment="1">
      <alignment vertical="center"/>
    </xf>
    <xf numFmtId="41" fontId="5" fillId="0" borderId="1" xfId="1" applyFont="1" applyBorder="1" applyAlignment="1">
      <alignment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9" fontId="5" fillId="0" borderId="0" xfId="0" applyNumberFormat="1" applyFont="1"/>
    <xf numFmtId="0" fontId="5" fillId="0" borderId="1" xfId="0" applyFont="1" applyFill="1" applyBorder="1"/>
    <xf numFmtId="41" fontId="5" fillId="0" borderId="1" xfId="1" applyFont="1" applyFill="1" applyBorder="1"/>
    <xf numFmtId="0" fontId="6" fillId="4" borderId="1" xfId="0" applyFont="1" applyFill="1" applyBorder="1"/>
    <xf numFmtId="41" fontId="6" fillId="0" borderId="1" xfId="1" applyFont="1" applyBorder="1" applyAlignment="1">
      <alignment vertical="center"/>
    </xf>
    <xf numFmtId="10" fontId="5" fillId="0" borderId="0" xfId="0" applyNumberFormat="1" applyFont="1"/>
    <xf numFmtId="0" fontId="5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wrapText="1"/>
    </xf>
    <xf numFmtId="41" fontId="6" fillId="0" borderId="1" xfId="1" applyFont="1" applyFill="1" applyBorder="1"/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/>
    <xf numFmtId="41" fontId="6" fillId="0" borderId="1" xfId="0" applyNumberFormat="1" applyFont="1" applyBorder="1"/>
    <xf numFmtId="41" fontId="5" fillId="0" borderId="1" xfId="0" applyNumberFormat="1" applyFont="1" applyFill="1" applyBorder="1"/>
    <xf numFmtId="0" fontId="5" fillId="0" borderId="0" xfId="0" applyFont="1" applyFill="1"/>
    <xf numFmtId="41" fontId="5" fillId="0" borderId="1" xfId="0" applyNumberFormat="1" applyFont="1" applyBorder="1"/>
    <xf numFmtId="41" fontId="5" fillId="0" borderId="0" xfId="1" applyFont="1" applyAlignment="1">
      <alignment horizontal="center"/>
    </xf>
    <xf numFmtId="41" fontId="5" fillId="0" borderId="0" xfId="1" applyFont="1"/>
    <xf numFmtId="0" fontId="5" fillId="4" borderId="1" xfId="0" applyFont="1" applyFill="1" applyBorder="1" applyAlignment="1">
      <alignment horizontal="left"/>
    </xf>
    <xf numFmtId="41" fontId="6" fillId="0" borderId="1" xfId="1" applyFont="1" applyBorder="1" applyAlignment="1">
      <alignment horizontal="center"/>
    </xf>
    <xf numFmtId="0" fontId="4" fillId="9" borderId="0" xfId="0" applyFont="1" applyFill="1" applyAlignment="1">
      <alignment horizontal="left" vertical="center"/>
    </xf>
    <xf numFmtId="0" fontId="4" fillId="9" borderId="0" xfId="0" applyFont="1" applyFill="1" applyAlignment="1">
      <alignment horizontal="center" vertical="center"/>
    </xf>
    <xf numFmtId="9" fontId="4" fillId="2" borderId="0" xfId="0" applyNumberFormat="1" applyFont="1" applyFill="1" applyAlignment="1">
      <alignment horizontal="center"/>
    </xf>
    <xf numFmtId="0" fontId="7" fillId="3" borderId="0" xfId="0" applyFont="1" applyFill="1"/>
    <xf numFmtId="9" fontId="7" fillId="3" borderId="0" xfId="0" applyNumberFormat="1" applyFont="1" applyFill="1" applyAlignment="1">
      <alignment horizontal="center"/>
    </xf>
    <xf numFmtId="41" fontId="8" fillId="7" borderId="3" xfId="5" applyNumberFormat="1" applyFont="1" applyFill="1" applyAlignment="1">
      <alignment horizontal="center"/>
    </xf>
    <xf numFmtId="167" fontId="7" fillId="3" borderId="0" xfId="3" applyNumberFormat="1" applyFont="1" applyFill="1" applyAlignment="1">
      <alignment horizontal="right"/>
    </xf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8" fillId="7" borderId="3" xfId="5" applyFont="1" applyFill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10" fillId="3" borderId="3" xfId="4" applyFont="1" applyFill="1" applyAlignment="1">
      <alignment horizontal="center"/>
    </xf>
    <xf numFmtId="9" fontId="5" fillId="0" borderId="0" xfId="3" applyFont="1"/>
    <xf numFmtId="0" fontId="5" fillId="0" borderId="0" xfId="0" applyFont="1" applyBorder="1"/>
    <xf numFmtId="0" fontId="5" fillId="0" borderId="0" xfId="0" applyFont="1" applyFill="1" applyBorder="1"/>
    <xf numFmtId="9" fontId="7" fillId="3" borderId="0" xfId="3" applyFont="1" applyFill="1"/>
    <xf numFmtId="0" fontId="11" fillId="0" borderId="0" xfId="0" applyFont="1" applyFill="1" applyAlignment="1">
      <alignment horizontal="center"/>
    </xf>
    <xf numFmtId="9" fontId="5" fillId="0" borderId="0" xfId="0" applyNumberFormat="1" applyFont="1" applyAlignment="1">
      <alignment horizontal="center" wrapText="1"/>
    </xf>
    <xf numFmtId="41" fontId="5" fillId="0" borderId="0" xfId="0" applyNumberFormat="1" applyFont="1"/>
    <xf numFmtId="0" fontId="5" fillId="3" borderId="0" xfId="0" applyFont="1" applyFill="1" applyAlignment="1">
      <alignment horizontal="center"/>
    </xf>
    <xf numFmtId="0" fontId="9" fillId="0" borderId="0" xfId="0" applyFont="1" applyAlignment="1">
      <alignment vertical="top" wrapText="1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14" fontId="5" fillId="0" borderId="0" xfId="0" applyNumberFormat="1" applyFont="1"/>
    <xf numFmtId="0" fontId="10" fillId="0" borderId="3" xfId="4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1" fillId="0" borderId="0" xfId="0" applyFont="1" applyFill="1"/>
    <xf numFmtId="41" fontId="5" fillId="0" borderId="0" xfId="0" applyNumberFormat="1" applyFont="1" applyAlignment="1">
      <alignment horizontal="center"/>
    </xf>
    <xf numFmtId="0" fontId="9" fillId="0" borderId="0" xfId="0" applyFont="1" applyAlignment="1">
      <alignment vertical="top"/>
    </xf>
    <xf numFmtId="165" fontId="7" fillId="3" borderId="0" xfId="3" applyNumberFormat="1" applyFont="1" applyFill="1"/>
    <xf numFmtId="0" fontId="4" fillId="8" borderId="0" xfId="0" applyFont="1" applyFill="1"/>
    <xf numFmtId="0" fontId="4" fillId="8" borderId="0" xfId="0" applyFont="1" applyFill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4" fillId="8" borderId="0" xfId="0" applyFont="1" applyFill="1" applyAlignment="1">
      <alignment horizontal="left"/>
    </xf>
    <xf numFmtId="0" fontId="5" fillId="0" borderId="0" xfId="0" quotePrefix="1" applyFont="1" applyAlignment="1">
      <alignment horizontal="center"/>
    </xf>
    <xf numFmtId="164" fontId="5" fillId="0" borderId="0" xfId="2" applyNumberFormat="1" applyFont="1" applyAlignment="1">
      <alignment horizontal="center"/>
    </xf>
    <xf numFmtId="49" fontId="5" fillId="0" borderId="0" xfId="0" applyNumberFormat="1" applyFont="1"/>
    <xf numFmtId="0" fontId="4" fillId="8" borderId="8" xfId="0" applyFont="1" applyFill="1" applyBorder="1"/>
    <xf numFmtId="0" fontId="7" fillId="10" borderId="0" xfId="0" applyFont="1" applyFill="1"/>
    <xf numFmtId="9" fontId="7" fillId="10" borderId="0" xfId="3" applyFont="1" applyFill="1"/>
    <xf numFmtId="164" fontId="5" fillId="0" borderId="0" xfId="2" applyNumberFormat="1" applyFont="1"/>
    <xf numFmtId="0" fontId="5" fillId="10" borderId="0" xfId="0" applyFont="1" applyFill="1"/>
    <xf numFmtId="0" fontId="5" fillId="11" borderId="0" xfId="0" applyFont="1" applyFill="1"/>
    <xf numFmtId="1" fontId="10" fillId="0" borderId="0" xfId="4" applyNumberFormat="1" applyFont="1" applyFill="1" applyBorder="1" applyAlignment="1">
      <alignment horizontal="center"/>
    </xf>
    <xf numFmtId="9" fontId="10" fillId="11" borderId="3" xfId="4" applyNumberFormat="1" applyFont="1" applyFill="1"/>
    <xf numFmtId="9" fontId="10" fillId="10" borderId="3" xfId="4" applyNumberFormat="1" applyFont="1" applyFill="1"/>
    <xf numFmtId="165" fontId="7" fillId="10" borderId="0" xfId="3" applyNumberFormat="1" applyFont="1" applyFill="1"/>
    <xf numFmtId="165" fontId="10" fillId="0" borderId="0" xfId="3" applyNumberFormat="1" applyFont="1" applyFill="1" applyBorder="1" applyAlignment="1">
      <alignment horizontal="center"/>
    </xf>
    <xf numFmtId="0" fontId="11" fillId="0" borderId="3" xfId="4" applyFont="1" applyFill="1" applyAlignment="1">
      <alignment horizontal="center"/>
    </xf>
    <xf numFmtId="166" fontId="11" fillId="0" borderId="3" xfId="2" applyNumberFormat="1" applyFont="1" applyFill="1" applyBorder="1" applyAlignment="1">
      <alignment horizontal="center"/>
    </xf>
    <xf numFmtId="165" fontId="11" fillId="0" borderId="3" xfId="3" applyNumberFormat="1" applyFont="1" applyFill="1" applyBorder="1" applyAlignment="1">
      <alignment horizontal="center"/>
    </xf>
    <xf numFmtId="10" fontId="11" fillId="0" borderId="3" xfId="4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168" fontId="5" fillId="0" borderId="0" xfId="0" applyNumberFormat="1" applyFont="1" applyAlignment="1">
      <alignment horizontal="center"/>
    </xf>
    <xf numFmtId="0" fontId="9" fillId="0" borderId="0" xfId="0" applyFont="1" applyAlignment="1">
      <alignment vertical="center"/>
    </xf>
    <xf numFmtId="0" fontId="14" fillId="0" borderId="0" xfId="0" applyFont="1"/>
    <xf numFmtId="168" fontId="2" fillId="5" borderId="3" xfId="4" applyNumberFormat="1" applyAlignment="1">
      <alignment horizontal="center"/>
    </xf>
    <xf numFmtId="0" fontId="16" fillId="2" borderId="0" xfId="0" applyFont="1" applyFill="1"/>
    <xf numFmtId="9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17" fillId="3" borderId="0" xfId="0" applyFont="1" applyFill="1"/>
    <xf numFmtId="0" fontId="18" fillId="7" borderId="3" xfId="5" applyFont="1" applyFill="1" applyAlignment="1">
      <alignment horizontal="center"/>
    </xf>
    <xf numFmtId="0" fontId="19" fillId="0" borderId="0" xfId="0" applyFont="1"/>
    <xf numFmtId="168" fontId="20" fillId="5" borderId="3" xfId="4" applyNumberFormat="1" applyFont="1" applyAlignment="1">
      <alignment horizontal="center"/>
    </xf>
    <xf numFmtId="0" fontId="14" fillId="0" borderId="0" xfId="0" applyFont="1" applyAlignment="1">
      <alignment vertical="center"/>
    </xf>
    <xf numFmtId="0" fontId="14" fillId="12" borderId="0" xfId="0" applyFont="1" applyFill="1" applyAlignment="1">
      <alignment horizontal="center" vertical="center"/>
    </xf>
    <xf numFmtId="0" fontId="15" fillId="2" borderId="0" xfId="0" applyFont="1" applyFill="1"/>
    <xf numFmtId="0" fontId="13" fillId="2" borderId="0" xfId="0" applyFont="1" applyFill="1"/>
    <xf numFmtId="165" fontId="0" fillId="0" borderId="0" xfId="3" applyNumberFormat="1" applyFont="1" applyAlignment="1">
      <alignment vertical="center"/>
    </xf>
    <xf numFmtId="165" fontId="0" fillId="0" borderId="0" xfId="0" applyNumberFormat="1"/>
    <xf numFmtId="0" fontId="2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31" fillId="0" borderId="1" xfId="0" applyFont="1" applyBorder="1" applyAlignment="1">
      <alignment horizontal="center"/>
    </xf>
    <xf numFmtId="0" fontId="6" fillId="0" borderId="0" xfId="0" applyFont="1"/>
    <xf numFmtId="0" fontId="2" fillId="5" borderId="3" xfId="4"/>
    <xf numFmtId="0" fontId="6" fillId="0" borderId="0" xfId="0" applyFont="1" applyAlignment="1">
      <alignment horizontal="center"/>
    </xf>
    <xf numFmtId="0" fontId="6" fillId="0" borderId="0" xfId="0" applyFont="1" applyAlignment="1"/>
    <xf numFmtId="168" fontId="8" fillId="7" borderId="3" xfId="5" applyNumberFormat="1" applyFont="1" applyFill="1" applyAlignment="1">
      <alignment horizontal="center"/>
    </xf>
    <xf numFmtId="0" fontId="2" fillId="5" borderId="3" xfId="4" applyAlignment="1">
      <alignment horizontal="center"/>
    </xf>
    <xf numFmtId="0" fontId="0" fillId="0" borderId="0" xfId="0" applyAlignment="1">
      <alignment horizontal="center" vertical="center"/>
    </xf>
    <xf numFmtId="0" fontId="35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15" borderId="1" xfId="0" applyFill="1" applyBorder="1" applyAlignment="1">
      <alignment horizontal="center"/>
    </xf>
    <xf numFmtId="0" fontId="35" fillId="0" borderId="1" xfId="0" applyFont="1" applyBorder="1" applyAlignment="1">
      <alignment horizontal="center"/>
    </xf>
    <xf numFmtId="0" fontId="35" fillId="0" borderId="1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/>
    </xf>
    <xf numFmtId="0" fontId="35" fillId="0" borderId="0" xfId="0" applyFont="1" applyBorder="1" applyAlignment="1">
      <alignment horizontal="center" vertical="center"/>
    </xf>
    <xf numFmtId="168" fontId="35" fillId="0" borderId="0" xfId="0" applyNumberFormat="1" applyFont="1" applyAlignment="1">
      <alignment horizontal="center"/>
    </xf>
    <xf numFmtId="168" fontId="35" fillId="0" borderId="0" xfId="0" applyNumberFormat="1" applyFont="1" applyBorder="1" applyAlignment="1">
      <alignment horizontal="center"/>
    </xf>
    <xf numFmtId="0" fontId="35" fillId="0" borderId="1" xfId="0" applyFont="1" applyBorder="1" applyAlignment="1">
      <alignment horizontal="center"/>
    </xf>
    <xf numFmtId="41" fontId="5" fillId="0" borderId="0" xfId="1" applyFont="1" applyBorder="1"/>
    <xf numFmtId="41" fontId="5" fillId="0" borderId="0" xfId="1" applyFont="1" applyFill="1" applyBorder="1"/>
    <xf numFmtId="9" fontId="5" fillId="0" borderId="1" xfId="0" applyNumberFormat="1" applyFont="1" applyBorder="1"/>
    <xf numFmtId="10" fontId="5" fillId="0" borderId="1" xfId="0" applyNumberFormat="1" applyFont="1" applyBorder="1"/>
    <xf numFmtId="0" fontId="8" fillId="7" borderId="3" xfId="5" applyNumberFormat="1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5" fillId="0" borderId="0" xfId="0" applyFont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37" fillId="0" borderId="0" xfId="0" quotePrefix="1" applyFont="1"/>
    <xf numFmtId="0" fontId="29" fillId="0" borderId="1" xfId="0" applyFont="1" applyBorder="1" applyAlignment="1">
      <alignment horizontal="center"/>
    </xf>
    <xf numFmtId="0" fontId="25" fillId="3" borderId="0" xfId="0" applyFont="1" applyFill="1" applyAlignment="1">
      <alignment horizontal="center" vertical="center" wrapText="1"/>
    </xf>
    <xf numFmtId="0" fontId="25" fillId="3" borderId="0" xfId="0" applyFont="1" applyFill="1" applyAlignment="1">
      <alignment horizontal="center" vertical="center"/>
    </xf>
    <xf numFmtId="0" fontId="24" fillId="12" borderId="0" xfId="0" applyFont="1" applyFill="1" applyAlignment="1">
      <alignment horizontal="center" vertical="center" wrapText="1"/>
    </xf>
    <xf numFmtId="165" fontId="24" fillId="12" borderId="0" xfId="3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14" fillId="12" borderId="0" xfId="0" applyFont="1" applyFill="1" applyAlignment="1">
      <alignment horizontal="center" vertical="center" wrapText="1"/>
    </xf>
    <xf numFmtId="0" fontId="14" fillId="12" borderId="0" xfId="0" applyFont="1" applyFill="1" applyAlignment="1">
      <alignment horizontal="center" vertical="center"/>
    </xf>
    <xf numFmtId="165" fontId="28" fillId="0" borderId="1" xfId="3" applyNumberFormat="1" applyFont="1" applyBorder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168" fontId="30" fillId="5" borderId="3" xfId="4" applyNumberFormat="1" applyFont="1" applyAlignment="1">
      <alignment horizontal="center" vertical="center"/>
    </xf>
    <xf numFmtId="165" fontId="26" fillId="0" borderId="13" xfId="3" applyNumberFormat="1" applyFont="1" applyBorder="1" applyAlignment="1">
      <alignment horizontal="center" vertical="center"/>
    </xf>
    <xf numFmtId="165" fontId="26" fillId="0" borderId="14" xfId="3" applyNumberFormat="1" applyFont="1" applyBorder="1" applyAlignment="1">
      <alignment horizontal="center" vertical="center"/>
    </xf>
    <xf numFmtId="165" fontId="26" fillId="0" borderId="15" xfId="3" applyNumberFormat="1" applyFont="1" applyBorder="1" applyAlignment="1">
      <alignment horizontal="center" vertical="center"/>
    </xf>
    <xf numFmtId="165" fontId="26" fillId="0" borderId="16" xfId="3" applyNumberFormat="1" applyFont="1" applyBorder="1" applyAlignment="1">
      <alignment horizontal="center" vertical="center"/>
    </xf>
    <xf numFmtId="165" fontId="26" fillId="0" borderId="0" xfId="3" applyNumberFormat="1" applyFont="1" applyBorder="1" applyAlignment="1">
      <alignment horizontal="center" vertical="center"/>
    </xf>
    <xf numFmtId="165" fontId="26" fillId="0" borderId="17" xfId="3" applyNumberFormat="1" applyFont="1" applyBorder="1" applyAlignment="1">
      <alignment horizontal="center" vertical="center"/>
    </xf>
    <xf numFmtId="165" fontId="26" fillId="0" borderId="18" xfId="3" applyNumberFormat="1" applyFont="1" applyBorder="1" applyAlignment="1">
      <alignment horizontal="center" vertical="center"/>
    </xf>
    <xf numFmtId="165" fontId="26" fillId="0" borderId="9" xfId="3" applyNumberFormat="1" applyFont="1" applyBorder="1" applyAlignment="1">
      <alignment horizontal="center" vertical="center"/>
    </xf>
    <xf numFmtId="165" fontId="26" fillId="0" borderId="19" xfId="3" applyNumberFormat="1" applyFont="1" applyBorder="1" applyAlignment="1">
      <alignment horizontal="center" vertical="center"/>
    </xf>
    <xf numFmtId="165" fontId="22" fillId="0" borderId="10" xfId="3" applyNumberFormat="1" applyFont="1" applyFill="1" applyBorder="1" applyAlignment="1">
      <alignment horizontal="center" vertical="center" wrapText="1"/>
    </xf>
    <xf numFmtId="165" fontId="22" fillId="0" borderId="11" xfId="3" applyNumberFormat="1" applyFont="1" applyFill="1" applyBorder="1" applyAlignment="1">
      <alignment horizontal="center" vertical="center"/>
    </xf>
    <xf numFmtId="165" fontId="22" fillId="0" borderId="12" xfId="3" applyNumberFormat="1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 wrapText="1"/>
    </xf>
    <xf numFmtId="0" fontId="22" fillId="0" borderId="11" xfId="0" applyFont="1" applyFill="1" applyBorder="1" applyAlignment="1">
      <alignment horizontal="center" vertical="center"/>
    </xf>
    <xf numFmtId="0" fontId="22" fillId="0" borderId="12" xfId="0" applyFont="1" applyFill="1" applyBorder="1" applyAlignment="1">
      <alignment horizontal="center" vertical="center"/>
    </xf>
    <xf numFmtId="165" fontId="24" fillId="4" borderId="0" xfId="3" applyNumberFormat="1" applyFont="1" applyFill="1" applyAlignment="1">
      <alignment horizontal="center" vertical="center"/>
    </xf>
    <xf numFmtId="0" fontId="6" fillId="13" borderId="5" xfId="0" applyFont="1" applyFill="1" applyBorder="1" applyAlignment="1">
      <alignment horizontal="center"/>
    </xf>
    <xf numFmtId="0" fontId="6" fillId="13" borderId="6" xfId="0" applyFont="1" applyFill="1" applyBorder="1" applyAlignment="1">
      <alignment horizontal="center"/>
    </xf>
    <xf numFmtId="0" fontId="6" fillId="13" borderId="7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36" fillId="0" borderId="13" xfId="0" applyFont="1" applyBorder="1" applyAlignment="1">
      <alignment horizontal="center" vertical="center"/>
    </xf>
    <xf numFmtId="0" fontId="36" fillId="0" borderId="14" xfId="0" applyFont="1" applyBorder="1" applyAlignment="1">
      <alignment horizontal="center" vertical="center"/>
    </xf>
    <xf numFmtId="0" fontId="36" fillId="0" borderId="15" xfId="0" applyFont="1" applyBorder="1" applyAlignment="1">
      <alignment horizontal="center" vertical="center"/>
    </xf>
    <xf numFmtId="0" fontId="36" fillId="0" borderId="16" xfId="0" applyFont="1" applyBorder="1" applyAlignment="1">
      <alignment horizontal="center" vertical="center"/>
    </xf>
    <xf numFmtId="0" fontId="36" fillId="0" borderId="0" xfId="0" applyFont="1" applyBorder="1" applyAlignment="1">
      <alignment horizontal="center" vertical="center"/>
    </xf>
    <xf numFmtId="0" fontId="36" fillId="0" borderId="17" xfId="0" applyFont="1" applyBorder="1" applyAlignment="1">
      <alignment horizontal="center" vertical="center"/>
    </xf>
    <xf numFmtId="0" fontId="36" fillId="0" borderId="18" xfId="0" applyFont="1" applyBorder="1" applyAlignment="1">
      <alignment horizontal="center" vertical="center"/>
    </xf>
    <xf numFmtId="0" fontId="36" fillId="0" borderId="9" xfId="0" applyFont="1" applyBorder="1" applyAlignment="1">
      <alignment horizontal="center" vertical="center"/>
    </xf>
    <xf numFmtId="0" fontId="36" fillId="0" borderId="19" xfId="0" applyFont="1" applyBorder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35" fillId="0" borderId="1" xfId="0" applyFont="1" applyBorder="1" applyAlignment="1">
      <alignment horizontal="center"/>
    </xf>
    <xf numFmtId="0" fontId="35" fillId="0" borderId="22" xfId="0" applyFont="1" applyBorder="1" applyAlignment="1">
      <alignment horizontal="center"/>
    </xf>
    <xf numFmtId="0" fontId="35" fillId="0" borderId="23" xfId="0" applyFont="1" applyBorder="1" applyAlignment="1">
      <alignment horizontal="center"/>
    </xf>
    <xf numFmtId="0" fontId="35" fillId="0" borderId="20" xfId="0" applyFont="1" applyBorder="1" applyAlignment="1">
      <alignment horizontal="center"/>
    </xf>
    <xf numFmtId="0" fontId="13" fillId="8" borderId="9" xfId="0" applyFont="1" applyFill="1" applyBorder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ill="1" applyAlignment="1">
      <alignment horizontal="center" vertical="center" wrapText="1"/>
    </xf>
    <xf numFmtId="168" fontId="35" fillId="0" borderId="1" xfId="0" applyNumberFormat="1" applyFont="1" applyBorder="1" applyAlignment="1">
      <alignment horizontal="center"/>
    </xf>
    <xf numFmtId="0" fontId="8" fillId="7" borderId="22" xfId="5" applyFont="1" applyFill="1" applyBorder="1" applyAlignment="1">
      <alignment horizontal="center" vertical="center"/>
    </xf>
    <xf numFmtId="0" fontId="8" fillId="7" borderId="23" xfId="5" applyFont="1" applyFill="1" applyBorder="1" applyAlignment="1">
      <alignment horizontal="center" vertical="center"/>
    </xf>
    <xf numFmtId="0" fontId="8" fillId="7" borderId="20" xfId="5" applyFont="1" applyFill="1" applyBorder="1" applyAlignment="1">
      <alignment horizontal="center" vertical="center"/>
    </xf>
    <xf numFmtId="0" fontId="8" fillId="7" borderId="1" xfId="5" applyFont="1" applyFill="1" applyBorder="1" applyAlignment="1">
      <alignment horizontal="center" vertical="center"/>
    </xf>
    <xf numFmtId="0" fontId="8" fillId="0" borderId="1" xfId="5" applyFont="1" applyFill="1" applyBorder="1" applyAlignment="1">
      <alignment horizontal="center" vertical="center"/>
    </xf>
    <xf numFmtId="0" fontId="35" fillId="0" borderId="0" xfId="0" applyFont="1" applyAlignment="1">
      <alignment horizontal="center"/>
    </xf>
    <xf numFmtId="0" fontId="6" fillId="12" borderId="5" xfId="0" applyFont="1" applyFill="1" applyBorder="1" applyAlignment="1">
      <alignment horizontal="center"/>
    </xf>
    <xf numFmtId="0" fontId="6" fillId="12" borderId="6" xfId="0" applyFont="1" applyFill="1" applyBorder="1" applyAlignment="1">
      <alignment horizontal="center"/>
    </xf>
    <xf numFmtId="0" fontId="33" fillId="0" borderId="21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3" fillId="0" borderId="2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8" fillId="7" borderId="0" xfId="5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3" fillId="0" borderId="21" xfId="0" applyFont="1" applyBorder="1" applyAlignment="1">
      <alignment horizontal="center" vertical="center" wrapText="1"/>
    </xf>
    <xf numFmtId="169" fontId="8" fillId="7" borderId="22" xfId="5" applyNumberFormat="1" applyFont="1" applyFill="1" applyBorder="1" applyAlignment="1">
      <alignment horizontal="center" vertical="center"/>
    </xf>
    <xf numFmtId="169" fontId="8" fillId="7" borderId="23" xfId="5" applyNumberFormat="1" applyFont="1" applyFill="1" applyBorder="1" applyAlignment="1">
      <alignment horizontal="center" vertical="center"/>
    </xf>
    <xf numFmtId="169" fontId="8" fillId="7" borderId="20" xfId="5" applyNumberFormat="1" applyFont="1" applyFill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 wrapText="1"/>
    </xf>
    <xf numFmtId="0" fontId="33" fillId="0" borderId="22" xfId="0" applyFont="1" applyBorder="1" applyAlignment="1">
      <alignment horizontal="center" vertical="center"/>
    </xf>
    <xf numFmtId="0" fontId="33" fillId="0" borderId="23" xfId="0" applyFont="1" applyBorder="1" applyAlignment="1">
      <alignment horizontal="center" vertical="center"/>
    </xf>
    <xf numFmtId="0" fontId="8" fillId="7" borderId="24" xfId="5" applyFont="1" applyFill="1" applyBorder="1" applyAlignment="1">
      <alignment horizontal="center" vertical="center"/>
    </xf>
    <xf numFmtId="0" fontId="8" fillId="7" borderId="25" xfId="5" applyFont="1" applyFill="1" applyBorder="1" applyAlignment="1">
      <alignment horizontal="center" vertical="center"/>
    </xf>
    <xf numFmtId="0" fontId="8" fillId="7" borderId="26" xfId="5" applyFont="1" applyFill="1" applyBorder="1" applyAlignment="1">
      <alignment horizontal="center" vertical="center"/>
    </xf>
    <xf numFmtId="0" fontId="8" fillId="7" borderId="27" xfId="5" applyFont="1" applyFill="1" applyBorder="1" applyAlignment="1">
      <alignment horizontal="center" vertical="center"/>
    </xf>
    <xf numFmtId="0" fontId="8" fillId="7" borderId="28" xfId="5" applyFont="1" applyFill="1" applyBorder="1" applyAlignment="1">
      <alignment horizontal="center" vertical="center"/>
    </xf>
    <xf numFmtId="0" fontId="8" fillId="7" borderId="29" xfId="5" applyFont="1" applyFill="1" applyBorder="1" applyAlignment="1">
      <alignment horizontal="center" vertical="center"/>
    </xf>
    <xf numFmtId="0" fontId="8" fillId="7" borderId="30" xfId="5" applyFont="1" applyFill="1" applyBorder="1" applyAlignment="1">
      <alignment horizontal="center" vertical="center"/>
    </xf>
    <xf numFmtId="0" fontId="8" fillId="7" borderId="31" xfId="5" applyFont="1" applyFill="1" applyBorder="1" applyAlignment="1">
      <alignment horizontal="center" vertical="center"/>
    </xf>
  </cellXfs>
  <cellStyles count="6">
    <cellStyle name="Calcul" xfId="5" builtinId="22"/>
    <cellStyle name="Entrée" xfId="4" builtinId="20"/>
    <cellStyle name="Milliers" xfId="2" builtinId="3"/>
    <cellStyle name="Milliers [0]" xfId="1" builtinId="6"/>
    <cellStyle name="Normal" xfId="0" builtinId="0"/>
    <cellStyle name="Pourcentage" xfId="3" builtinId="5"/>
  </cellStyles>
  <dxfs count="3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801E1E"/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google.com/url?sa=i&amp;url=https%3A%2F%2Ffr.m.wikipedia.org%2Fwiki%2FFichier%3AMoody%25E2%2580%2599s_logo.svg&amp;psig=AOvVaw2nATd7PbEllSxVM69PICMC&amp;ust=1601087136568000&amp;source=images&amp;cd=vfe&amp;ved=0CAIQjRxqFwoTCICs5cKgg-wCFQAAAAAdAAAAABAD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https://www.google.com/url?sa=i&amp;url=https%3A%2F%2Flibnanews.com%2Flogo-fitch-ratings-logo-1024x666-2%2F&amp;psig=AOvVaw3Rz2CWrLlEIrn44VQ7Jd0Y&amp;ust=1601118778923000&amp;source=images&amp;cd=vfe&amp;ved=0CAIQjRxqFwoTCOCKq7OWhOwCFQAAAAAdAAAAABAD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68036</xdr:colOff>
      <xdr:row>9</xdr:row>
      <xdr:rowOff>158749</xdr:rowOff>
    </xdr:from>
    <xdr:to>
      <xdr:col>51</xdr:col>
      <xdr:colOff>64862</xdr:colOff>
      <xdr:row>24</xdr:row>
      <xdr:rowOff>12244</xdr:rowOff>
    </xdr:to>
    <xdr:pic>
      <xdr:nvPicPr>
        <xdr:cNvPr id="4" name="Imag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DAFCA6F-B0EE-41B9-8EEC-7D6233855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19465" y="1428749"/>
          <a:ext cx="12337143" cy="257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1551480</xdr:colOff>
      <xdr:row>75</xdr:row>
      <xdr:rowOff>2043</xdr:rowOff>
    </xdr:from>
    <xdr:to>
      <xdr:col>21</xdr:col>
      <xdr:colOff>697515</xdr:colOff>
      <xdr:row>81</xdr:row>
      <xdr:rowOff>22296</xdr:rowOff>
    </xdr:to>
    <xdr:sp macro="" textlink="">
      <xdr:nvSpPr>
        <xdr:cNvPr id="10" name="Triangle isocèle 9">
          <a:extLst>
            <a:ext uri="{FF2B5EF4-FFF2-40B4-BE49-F238E27FC236}">
              <a16:creationId xmlns:a16="http://schemas.microsoft.com/office/drawing/2014/main" id="{D84B87A6-2710-4B55-A2E2-60B379EEC871}"/>
            </a:ext>
          </a:extLst>
        </xdr:cNvPr>
        <xdr:cNvSpPr/>
      </xdr:nvSpPr>
      <xdr:spPr>
        <a:xfrm rot="10800000">
          <a:off x="5409105" y="8860293"/>
          <a:ext cx="29816535" cy="116325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18</xdr:row>
      <xdr:rowOff>142874</xdr:rowOff>
    </xdr:from>
    <xdr:to>
      <xdr:col>7</xdr:col>
      <xdr:colOff>795571</xdr:colOff>
      <xdr:row>28</xdr:row>
      <xdr:rowOff>142874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3DB41EE-118D-473A-8C5B-781C6B03E8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3131343"/>
          <a:ext cx="12121590" cy="17859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415925</xdr:colOff>
      <xdr:row>4</xdr:row>
      <xdr:rowOff>0</xdr:rowOff>
    </xdr:from>
    <xdr:to>
      <xdr:col>3</xdr:col>
      <xdr:colOff>354056</xdr:colOff>
      <xdr:row>5</xdr:row>
      <xdr:rowOff>168275</xdr:rowOff>
    </xdr:to>
    <xdr:grpSp>
      <xdr:nvGrpSpPr>
        <xdr:cNvPr id="13" name="Groupe 12">
          <a:extLst>
            <a:ext uri="{FF2B5EF4-FFF2-40B4-BE49-F238E27FC236}">
              <a16:creationId xmlns:a16="http://schemas.microsoft.com/office/drawing/2014/main" id="{81991D4A-4029-43AE-841F-C78F5C593754}"/>
            </a:ext>
          </a:extLst>
        </xdr:cNvPr>
        <xdr:cNvGrpSpPr/>
      </xdr:nvGrpSpPr>
      <xdr:grpSpPr>
        <a:xfrm>
          <a:off x="1249363" y="762000"/>
          <a:ext cx="1819318" cy="358775"/>
          <a:chOff x="1181486" y="712150"/>
          <a:chExt cx="1576075" cy="346312"/>
        </a:xfrm>
      </xdr:grpSpPr>
      <xdr:cxnSp macro="">
        <xdr:nvCxnSpPr>
          <xdr:cNvPr id="7" name="Connecteur droit avec flèche 6">
            <a:extLst>
              <a:ext uri="{FF2B5EF4-FFF2-40B4-BE49-F238E27FC236}">
                <a16:creationId xmlns:a16="http://schemas.microsoft.com/office/drawing/2014/main" id="{59BFE92F-09E8-4463-A579-1FF851AB0480}"/>
              </a:ext>
            </a:extLst>
          </xdr:cNvPr>
          <xdr:cNvCxnSpPr/>
        </xdr:nvCxnSpPr>
        <xdr:spPr>
          <a:xfrm>
            <a:off x="1949094" y="842325"/>
            <a:ext cx="0" cy="21613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Connecteur droit 8">
            <a:extLst>
              <a:ext uri="{FF2B5EF4-FFF2-40B4-BE49-F238E27FC236}">
                <a16:creationId xmlns:a16="http://schemas.microsoft.com/office/drawing/2014/main" id="{4E5854E6-B6BF-4409-AE8D-510B2238BCCC}"/>
              </a:ext>
            </a:extLst>
          </xdr:cNvPr>
          <xdr:cNvCxnSpPr/>
        </xdr:nvCxnSpPr>
        <xdr:spPr>
          <a:xfrm>
            <a:off x="1181486" y="845500"/>
            <a:ext cx="157126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Connecteur droit 10">
            <a:extLst>
              <a:ext uri="{FF2B5EF4-FFF2-40B4-BE49-F238E27FC236}">
                <a16:creationId xmlns:a16="http://schemas.microsoft.com/office/drawing/2014/main" id="{CE56A0E2-9A18-41BD-8A03-39F1E2B73448}"/>
              </a:ext>
            </a:extLst>
          </xdr:cNvPr>
          <xdr:cNvCxnSpPr/>
        </xdr:nvCxnSpPr>
        <xdr:spPr>
          <a:xfrm>
            <a:off x="1184661" y="712150"/>
            <a:ext cx="0" cy="13017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Connecteur droit 11">
            <a:extLst>
              <a:ext uri="{FF2B5EF4-FFF2-40B4-BE49-F238E27FC236}">
                <a16:creationId xmlns:a16="http://schemas.microsoft.com/office/drawing/2014/main" id="{E2D9C65D-222B-4837-AE33-68099B669F51}"/>
              </a:ext>
            </a:extLst>
          </xdr:cNvPr>
          <xdr:cNvCxnSpPr/>
        </xdr:nvCxnSpPr>
        <xdr:spPr>
          <a:xfrm>
            <a:off x="2757561" y="724670"/>
            <a:ext cx="0" cy="1304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696753</xdr:colOff>
      <xdr:row>4</xdr:row>
      <xdr:rowOff>1066</xdr:rowOff>
    </xdr:from>
    <xdr:to>
      <xdr:col>7</xdr:col>
      <xdr:colOff>543936</xdr:colOff>
      <xdr:row>6</xdr:row>
      <xdr:rowOff>829</xdr:rowOff>
    </xdr:to>
    <xdr:grpSp>
      <xdr:nvGrpSpPr>
        <xdr:cNvPr id="14" name="Groupe 13">
          <a:extLst>
            <a:ext uri="{FF2B5EF4-FFF2-40B4-BE49-F238E27FC236}">
              <a16:creationId xmlns:a16="http://schemas.microsoft.com/office/drawing/2014/main" id="{1281E181-1132-4433-AEA6-DA8A38C7C301}"/>
            </a:ext>
          </a:extLst>
        </xdr:cNvPr>
        <xdr:cNvGrpSpPr/>
      </xdr:nvGrpSpPr>
      <xdr:grpSpPr>
        <a:xfrm>
          <a:off x="4911566" y="763066"/>
          <a:ext cx="1823620" cy="380763"/>
          <a:chOff x="1181486" y="712150"/>
          <a:chExt cx="1576075" cy="346312"/>
        </a:xfrm>
      </xdr:grpSpPr>
      <xdr:cxnSp macro="">
        <xdr:nvCxnSpPr>
          <xdr:cNvPr id="15" name="Connecteur droit avec flèche 14">
            <a:extLst>
              <a:ext uri="{FF2B5EF4-FFF2-40B4-BE49-F238E27FC236}">
                <a16:creationId xmlns:a16="http://schemas.microsoft.com/office/drawing/2014/main" id="{2670594D-2CAC-4228-B7A5-53F67056B59A}"/>
              </a:ext>
            </a:extLst>
          </xdr:cNvPr>
          <xdr:cNvCxnSpPr/>
        </xdr:nvCxnSpPr>
        <xdr:spPr>
          <a:xfrm>
            <a:off x="1949094" y="842325"/>
            <a:ext cx="0" cy="21613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Connecteur droit 15">
            <a:extLst>
              <a:ext uri="{FF2B5EF4-FFF2-40B4-BE49-F238E27FC236}">
                <a16:creationId xmlns:a16="http://schemas.microsoft.com/office/drawing/2014/main" id="{32BC6038-0ABE-4593-8582-EA46B219F26E}"/>
              </a:ext>
            </a:extLst>
          </xdr:cNvPr>
          <xdr:cNvCxnSpPr/>
        </xdr:nvCxnSpPr>
        <xdr:spPr>
          <a:xfrm>
            <a:off x="1181486" y="845500"/>
            <a:ext cx="157126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Connecteur droit 16">
            <a:extLst>
              <a:ext uri="{FF2B5EF4-FFF2-40B4-BE49-F238E27FC236}">
                <a16:creationId xmlns:a16="http://schemas.microsoft.com/office/drawing/2014/main" id="{6410D247-19D9-4683-A8FA-C187120E5FEF}"/>
              </a:ext>
            </a:extLst>
          </xdr:cNvPr>
          <xdr:cNvCxnSpPr/>
        </xdr:nvCxnSpPr>
        <xdr:spPr>
          <a:xfrm>
            <a:off x="1184661" y="712150"/>
            <a:ext cx="0" cy="13017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Connecteur droit 17">
            <a:extLst>
              <a:ext uri="{FF2B5EF4-FFF2-40B4-BE49-F238E27FC236}">
                <a16:creationId xmlns:a16="http://schemas.microsoft.com/office/drawing/2014/main" id="{876C3AFE-1575-4D72-B61C-2B5301FFEB42}"/>
              </a:ext>
            </a:extLst>
          </xdr:cNvPr>
          <xdr:cNvCxnSpPr/>
        </xdr:nvCxnSpPr>
        <xdr:spPr>
          <a:xfrm>
            <a:off x="2757561" y="716006"/>
            <a:ext cx="0" cy="1304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249459</xdr:colOff>
      <xdr:row>8</xdr:row>
      <xdr:rowOff>59071</xdr:rowOff>
    </xdr:from>
    <xdr:to>
      <xdr:col>6</xdr:col>
      <xdr:colOff>504233</xdr:colOff>
      <xdr:row>10</xdr:row>
      <xdr:rowOff>160236</xdr:rowOff>
    </xdr:to>
    <xdr:grpSp>
      <xdr:nvGrpSpPr>
        <xdr:cNvPr id="19" name="Groupe 18">
          <a:extLst>
            <a:ext uri="{FF2B5EF4-FFF2-40B4-BE49-F238E27FC236}">
              <a16:creationId xmlns:a16="http://schemas.microsoft.com/office/drawing/2014/main" id="{1A34AFE8-42B9-4C18-B59B-23394B671C02}"/>
            </a:ext>
          </a:extLst>
        </xdr:cNvPr>
        <xdr:cNvGrpSpPr/>
      </xdr:nvGrpSpPr>
      <xdr:grpSpPr>
        <a:xfrm>
          <a:off x="2130647" y="1583071"/>
          <a:ext cx="3731399" cy="482165"/>
          <a:chOff x="1181486" y="712150"/>
          <a:chExt cx="1572115" cy="346312"/>
        </a:xfrm>
      </xdr:grpSpPr>
      <xdr:cxnSp macro="">
        <xdr:nvCxnSpPr>
          <xdr:cNvPr id="20" name="Connecteur droit avec flèche 19">
            <a:extLst>
              <a:ext uri="{FF2B5EF4-FFF2-40B4-BE49-F238E27FC236}">
                <a16:creationId xmlns:a16="http://schemas.microsoft.com/office/drawing/2014/main" id="{D1DE75EB-B368-497D-8F2B-C24CABE25A23}"/>
              </a:ext>
            </a:extLst>
          </xdr:cNvPr>
          <xdr:cNvCxnSpPr/>
        </xdr:nvCxnSpPr>
        <xdr:spPr>
          <a:xfrm>
            <a:off x="1949094" y="842325"/>
            <a:ext cx="0" cy="21613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Connecteur droit 20">
            <a:extLst>
              <a:ext uri="{FF2B5EF4-FFF2-40B4-BE49-F238E27FC236}">
                <a16:creationId xmlns:a16="http://schemas.microsoft.com/office/drawing/2014/main" id="{35213410-8626-4673-8C86-D8544458DF02}"/>
              </a:ext>
            </a:extLst>
          </xdr:cNvPr>
          <xdr:cNvCxnSpPr/>
        </xdr:nvCxnSpPr>
        <xdr:spPr>
          <a:xfrm>
            <a:off x="1181486" y="845500"/>
            <a:ext cx="157126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Connecteur droit 21">
            <a:extLst>
              <a:ext uri="{FF2B5EF4-FFF2-40B4-BE49-F238E27FC236}">
                <a16:creationId xmlns:a16="http://schemas.microsoft.com/office/drawing/2014/main" id="{8AF1B54A-C99F-4CFA-827D-F1ECA54C48D9}"/>
              </a:ext>
            </a:extLst>
          </xdr:cNvPr>
          <xdr:cNvCxnSpPr/>
        </xdr:nvCxnSpPr>
        <xdr:spPr>
          <a:xfrm>
            <a:off x="1184661" y="712150"/>
            <a:ext cx="0" cy="13017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Connecteur droit 22">
            <a:extLst>
              <a:ext uri="{FF2B5EF4-FFF2-40B4-BE49-F238E27FC236}">
                <a16:creationId xmlns:a16="http://schemas.microsoft.com/office/drawing/2014/main" id="{D1AD8054-6B06-4128-A774-D6E786343EDD}"/>
              </a:ext>
            </a:extLst>
          </xdr:cNvPr>
          <xdr:cNvCxnSpPr/>
        </xdr:nvCxnSpPr>
        <xdr:spPr>
          <a:xfrm>
            <a:off x="2753601" y="715311"/>
            <a:ext cx="0" cy="1304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1389376</xdr:colOff>
      <xdr:row>3</xdr:row>
      <xdr:rowOff>170597</xdr:rowOff>
    </xdr:from>
    <xdr:to>
      <xdr:col>11</xdr:col>
      <xdr:colOff>326709</xdr:colOff>
      <xdr:row>10</xdr:row>
      <xdr:rowOff>145340</xdr:rowOff>
    </xdr:to>
    <xdr:grpSp>
      <xdr:nvGrpSpPr>
        <xdr:cNvPr id="24" name="Groupe 23">
          <a:extLst>
            <a:ext uri="{FF2B5EF4-FFF2-40B4-BE49-F238E27FC236}">
              <a16:creationId xmlns:a16="http://schemas.microsoft.com/office/drawing/2014/main" id="{364AB645-0BD9-4C07-938D-B9EDBFCFD4EC}"/>
            </a:ext>
          </a:extLst>
        </xdr:cNvPr>
        <xdr:cNvGrpSpPr/>
      </xdr:nvGrpSpPr>
      <xdr:grpSpPr>
        <a:xfrm>
          <a:off x="10009501" y="742097"/>
          <a:ext cx="2104396" cy="1308243"/>
          <a:chOff x="1181486" y="712150"/>
          <a:chExt cx="1576075" cy="346312"/>
        </a:xfrm>
      </xdr:grpSpPr>
      <xdr:cxnSp macro="">
        <xdr:nvCxnSpPr>
          <xdr:cNvPr id="25" name="Connecteur droit avec flèche 24">
            <a:extLst>
              <a:ext uri="{FF2B5EF4-FFF2-40B4-BE49-F238E27FC236}">
                <a16:creationId xmlns:a16="http://schemas.microsoft.com/office/drawing/2014/main" id="{AA68439E-E287-467F-9C62-C120027974DF}"/>
              </a:ext>
            </a:extLst>
          </xdr:cNvPr>
          <xdr:cNvCxnSpPr/>
        </xdr:nvCxnSpPr>
        <xdr:spPr>
          <a:xfrm>
            <a:off x="1949094" y="842325"/>
            <a:ext cx="0" cy="21613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Connecteur droit 25">
            <a:extLst>
              <a:ext uri="{FF2B5EF4-FFF2-40B4-BE49-F238E27FC236}">
                <a16:creationId xmlns:a16="http://schemas.microsoft.com/office/drawing/2014/main" id="{C2610410-FB73-4147-AE2D-F322B46B29C7}"/>
              </a:ext>
            </a:extLst>
          </xdr:cNvPr>
          <xdr:cNvCxnSpPr/>
        </xdr:nvCxnSpPr>
        <xdr:spPr>
          <a:xfrm>
            <a:off x="1181486" y="845500"/>
            <a:ext cx="157126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Connecteur droit 26">
            <a:extLst>
              <a:ext uri="{FF2B5EF4-FFF2-40B4-BE49-F238E27FC236}">
                <a16:creationId xmlns:a16="http://schemas.microsoft.com/office/drawing/2014/main" id="{891C5132-725B-47BB-9AFB-921F13055E4B}"/>
              </a:ext>
            </a:extLst>
          </xdr:cNvPr>
          <xdr:cNvCxnSpPr/>
        </xdr:nvCxnSpPr>
        <xdr:spPr>
          <a:xfrm>
            <a:off x="1184661" y="712150"/>
            <a:ext cx="0" cy="13017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Connecteur droit 27">
            <a:extLst>
              <a:ext uri="{FF2B5EF4-FFF2-40B4-BE49-F238E27FC236}">
                <a16:creationId xmlns:a16="http://schemas.microsoft.com/office/drawing/2014/main" id="{B8877348-C761-4F11-AF86-B73888941B24}"/>
              </a:ext>
            </a:extLst>
          </xdr:cNvPr>
          <xdr:cNvCxnSpPr/>
        </xdr:nvCxnSpPr>
        <xdr:spPr>
          <a:xfrm>
            <a:off x="2757561" y="716006"/>
            <a:ext cx="0" cy="1304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649888</xdr:colOff>
      <xdr:row>14</xdr:row>
      <xdr:rowOff>1</xdr:rowOff>
    </xdr:from>
    <xdr:to>
      <xdr:col>9</xdr:col>
      <xdr:colOff>364438</xdr:colOff>
      <xdr:row>17</xdr:row>
      <xdr:rowOff>0</xdr:rowOff>
    </xdr:to>
    <xdr:grpSp>
      <xdr:nvGrpSpPr>
        <xdr:cNvPr id="29" name="Groupe 28">
          <a:extLst>
            <a:ext uri="{FF2B5EF4-FFF2-40B4-BE49-F238E27FC236}">
              <a16:creationId xmlns:a16="http://schemas.microsoft.com/office/drawing/2014/main" id="{13B9983F-F7C7-4797-9BB4-001CCFDAD08A}"/>
            </a:ext>
          </a:extLst>
        </xdr:cNvPr>
        <xdr:cNvGrpSpPr/>
      </xdr:nvGrpSpPr>
      <xdr:grpSpPr>
        <a:xfrm>
          <a:off x="4864701" y="2667001"/>
          <a:ext cx="4119862" cy="571499"/>
          <a:chOff x="1181486" y="712150"/>
          <a:chExt cx="1572115" cy="346312"/>
        </a:xfrm>
      </xdr:grpSpPr>
      <xdr:cxnSp macro="">
        <xdr:nvCxnSpPr>
          <xdr:cNvPr id="30" name="Connecteur droit avec flèche 29">
            <a:extLst>
              <a:ext uri="{FF2B5EF4-FFF2-40B4-BE49-F238E27FC236}">
                <a16:creationId xmlns:a16="http://schemas.microsoft.com/office/drawing/2014/main" id="{17763FFF-A688-4F48-A634-EA701358DB1E}"/>
              </a:ext>
            </a:extLst>
          </xdr:cNvPr>
          <xdr:cNvCxnSpPr/>
        </xdr:nvCxnSpPr>
        <xdr:spPr>
          <a:xfrm>
            <a:off x="1949094" y="842325"/>
            <a:ext cx="0" cy="21613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Connecteur droit 30">
            <a:extLst>
              <a:ext uri="{FF2B5EF4-FFF2-40B4-BE49-F238E27FC236}">
                <a16:creationId xmlns:a16="http://schemas.microsoft.com/office/drawing/2014/main" id="{DABB56E2-1895-464C-8291-1157B0986F2E}"/>
              </a:ext>
            </a:extLst>
          </xdr:cNvPr>
          <xdr:cNvCxnSpPr/>
        </xdr:nvCxnSpPr>
        <xdr:spPr>
          <a:xfrm>
            <a:off x="1181486" y="845500"/>
            <a:ext cx="157126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Connecteur droit 31">
            <a:extLst>
              <a:ext uri="{FF2B5EF4-FFF2-40B4-BE49-F238E27FC236}">
                <a16:creationId xmlns:a16="http://schemas.microsoft.com/office/drawing/2014/main" id="{3522CCBC-6DED-45C8-850F-CE35EE242BE7}"/>
              </a:ext>
            </a:extLst>
          </xdr:cNvPr>
          <xdr:cNvCxnSpPr/>
        </xdr:nvCxnSpPr>
        <xdr:spPr>
          <a:xfrm>
            <a:off x="1184661" y="712150"/>
            <a:ext cx="0" cy="13017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Connecteur droit 32">
            <a:extLst>
              <a:ext uri="{FF2B5EF4-FFF2-40B4-BE49-F238E27FC236}">
                <a16:creationId xmlns:a16="http://schemas.microsoft.com/office/drawing/2014/main" id="{9D719907-6EC2-4AB4-83DC-4C95018F575E}"/>
              </a:ext>
            </a:extLst>
          </xdr:cNvPr>
          <xdr:cNvCxnSpPr/>
        </xdr:nvCxnSpPr>
        <xdr:spPr>
          <a:xfrm>
            <a:off x="2753601" y="713429"/>
            <a:ext cx="0" cy="1304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414349</xdr:colOff>
      <xdr:row>21</xdr:row>
      <xdr:rowOff>27199</xdr:rowOff>
    </xdr:from>
    <xdr:to>
      <xdr:col>5</xdr:col>
      <xdr:colOff>661236</xdr:colOff>
      <xdr:row>27</xdr:row>
      <xdr:rowOff>123801</xdr:rowOff>
    </xdr:to>
    <xdr:pic>
      <xdr:nvPicPr>
        <xdr:cNvPr id="34" name="Image 33" descr="Logo fitch-ratings-logo-1024x666 | Libnanews, Le Média Citoyen du Liba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C97693A-DD6F-4573-9663-8F6F0C73C12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1129" b="23243"/>
        <a:stretch/>
      </xdr:blipFill>
      <xdr:spPr bwMode="auto">
        <a:xfrm>
          <a:off x="414349" y="3748594"/>
          <a:ext cx="4130724" cy="1159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1231660</xdr:colOff>
      <xdr:row>4</xdr:row>
      <xdr:rowOff>12881</xdr:rowOff>
    </xdr:from>
    <xdr:to>
      <xdr:col>17</xdr:col>
      <xdr:colOff>2259418</xdr:colOff>
      <xdr:row>17</xdr:row>
      <xdr:rowOff>0</xdr:rowOff>
    </xdr:to>
    <xdr:grpSp>
      <xdr:nvGrpSpPr>
        <xdr:cNvPr id="36" name="Groupe 35">
          <a:extLst>
            <a:ext uri="{FF2B5EF4-FFF2-40B4-BE49-F238E27FC236}">
              <a16:creationId xmlns:a16="http://schemas.microsoft.com/office/drawing/2014/main" id="{370D3D7D-F57C-4192-B1F8-595541BEE259}"/>
            </a:ext>
          </a:extLst>
        </xdr:cNvPr>
        <xdr:cNvGrpSpPr/>
      </xdr:nvGrpSpPr>
      <xdr:grpSpPr>
        <a:xfrm>
          <a:off x="15590598" y="774881"/>
          <a:ext cx="10267008" cy="2463619"/>
          <a:chOff x="1181486" y="712150"/>
          <a:chExt cx="1573626" cy="346312"/>
        </a:xfrm>
      </xdr:grpSpPr>
      <xdr:cxnSp macro="">
        <xdr:nvCxnSpPr>
          <xdr:cNvPr id="37" name="Connecteur droit avec flèche 36">
            <a:extLst>
              <a:ext uri="{FF2B5EF4-FFF2-40B4-BE49-F238E27FC236}">
                <a16:creationId xmlns:a16="http://schemas.microsoft.com/office/drawing/2014/main" id="{541EB9F7-6149-4B03-836B-3C37FDB88AD8}"/>
              </a:ext>
            </a:extLst>
          </xdr:cNvPr>
          <xdr:cNvCxnSpPr/>
        </xdr:nvCxnSpPr>
        <xdr:spPr>
          <a:xfrm>
            <a:off x="1949094" y="842325"/>
            <a:ext cx="0" cy="21613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Connecteur droit 37">
            <a:extLst>
              <a:ext uri="{FF2B5EF4-FFF2-40B4-BE49-F238E27FC236}">
                <a16:creationId xmlns:a16="http://schemas.microsoft.com/office/drawing/2014/main" id="{3505BE99-1EFC-48B2-8AC5-190E6F34D3CC}"/>
              </a:ext>
            </a:extLst>
          </xdr:cNvPr>
          <xdr:cNvCxnSpPr/>
        </xdr:nvCxnSpPr>
        <xdr:spPr>
          <a:xfrm>
            <a:off x="1181486" y="845500"/>
            <a:ext cx="157126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Connecteur droit 38">
            <a:extLst>
              <a:ext uri="{FF2B5EF4-FFF2-40B4-BE49-F238E27FC236}">
                <a16:creationId xmlns:a16="http://schemas.microsoft.com/office/drawing/2014/main" id="{3C90E0B3-0F17-46A8-9780-8D0202FABF78}"/>
              </a:ext>
            </a:extLst>
          </xdr:cNvPr>
          <xdr:cNvCxnSpPr/>
        </xdr:nvCxnSpPr>
        <xdr:spPr>
          <a:xfrm>
            <a:off x="1184661" y="712150"/>
            <a:ext cx="0" cy="13017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Connecteur droit 39">
            <a:extLst>
              <a:ext uri="{FF2B5EF4-FFF2-40B4-BE49-F238E27FC236}">
                <a16:creationId xmlns:a16="http://schemas.microsoft.com/office/drawing/2014/main" id="{4E31110D-0AE6-4DE9-9858-E2356A7BB08A}"/>
              </a:ext>
            </a:extLst>
          </xdr:cNvPr>
          <xdr:cNvCxnSpPr/>
        </xdr:nvCxnSpPr>
        <xdr:spPr>
          <a:xfrm>
            <a:off x="2755112" y="716006"/>
            <a:ext cx="0" cy="1304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976181</xdr:colOff>
      <xdr:row>4</xdr:row>
      <xdr:rowOff>12881</xdr:rowOff>
    </xdr:from>
    <xdr:to>
      <xdr:col>15</xdr:col>
      <xdr:colOff>976181</xdr:colOff>
      <xdr:row>10</xdr:row>
      <xdr:rowOff>14767</xdr:rowOff>
    </xdr:to>
    <xdr:cxnSp macro="">
      <xdr:nvCxnSpPr>
        <xdr:cNvPr id="41" name="Connecteur droit 40">
          <a:extLst>
            <a:ext uri="{FF2B5EF4-FFF2-40B4-BE49-F238E27FC236}">
              <a16:creationId xmlns:a16="http://schemas.microsoft.com/office/drawing/2014/main" id="{F2C948CA-5B45-4AFA-B348-3C695066910A}"/>
            </a:ext>
          </a:extLst>
        </xdr:cNvPr>
        <xdr:cNvCxnSpPr/>
      </xdr:nvCxnSpPr>
      <xdr:spPr>
        <a:xfrm>
          <a:off x="20692931" y="727256"/>
          <a:ext cx="0" cy="10655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167286</xdr:colOff>
      <xdr:row>19</xdr:row>
      <xdr:rowOff>34261</xdr:rowOff>
    </xdr:from>
    <xdr:to>
      <xdr:col>15</xdr:col>
      <xdr:colOff>2318487</xdr:colOff>
      <xdr:row>27</xdr:row>
      <xdr:rowOff>162442</xdr:rowOff>
    </xdr:to>
    <xdr:grpSp>
      <xdr:nvGrpSpPr>
        <xdr:cNvPr id="42" name="Groupe 41">
          <a:extLst>
            <a:ext uri="{FF2B5EF4-FFF2-40B4-BE49-F238E27FC236}">
              <a16:creationId xmlns:a16="http://schemas.microsoft.com/office/drawing/2014/main" id="{99BCCFCB-F7D2-4F20-9963-E575A8A5199E}"/>
            </a:ext>
          </a:extLst>
        </xdr:cNvPr>
        <xdr:cNvGrpSpPr/>
      </xdr:nvGrpSpPr>
      <xdr:grpSpPr>
        <a:xfrm>
          <a:off x="6358536" y="3653761"/>
          <a:ext cx="15581451" cy="1652181"/>
          <a:chOff x="1181486" y="712150"/>
          <a:chExt cx="1572115" cy="346312"/>
        </a:xfrm>
      </xdr:grpSpPr>
      <xdr:cxnSp macro="">
        <xdr:nvCxnSpPr>
          <xdr:cNvPr id="43" name="Connecteur droit avec flèche 42">
            <a:extLst>
              <a:ext uri="{FF2B5EF4-FFF2-40B4-BE49-F238E27FC236}">
                <a16:creationId xmlns:a16="http://schemas.microsoft.com/office/drawing/2014/main" id="{DD7A6896-EF49-47FD-9F9E-A3DBCBDD2DC9}"/>
              </a:ext>
            </a:extLst>
          </xdr:cNvPr>
          <xdr:cNvCxnSpPr/>
        </xdr:nvCxnSpPr>
        <xdr:spPr>
          <a:xfrm>
            <a:off x="1949094" y="842325"/>
            <a:ext cx="0" cy="21613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Connecteur droit 43">
            <a:extLst>
              <a:ext uri="{FF2B5EF4-FFF2-40B4-BE49-F238E27FC236}">
                <a16:creationId xmlns:a16="http://schemas.microsoft.com/office/drawing/2014/main" id="{421FE207-AAF4-4EEF-B038-7056F34CD0D9}"/>
              </a:ext>
            </a:extLst>
          </xdr:cNvPr>
          <xdr:cNvCxnSpPr/>
        </xdr:nvCxnSpPr>
        <xdr:spPr>
          <a:xfrm>
            <a:off x="1181486" y="845500"/>
            <a:ext cx="157126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Connecteur droit 44">
            <a:extLst>
              <a:ext uri="{FF2B5EF4-FFF2-40B4-BE49-F238E27FC236}">
                <a16:creationId xmlns:a16="http://schemas.microsoft.com/office/drawing/2014/main" id="{C37DDB25-A115-439E-B6B0-78B725775403}"/>
              </a:ext>
            </a:extLst>
          </xdr:cNvPr>
          <xdr:cNvCxnSpPr/>
        </xdr:nvCxnSpPr>
        <xdr:spPr>
          <a:xfrm>
            <a:off x="1184661" y="712150"/>
            <a:ext cx="0" cy="13017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Connecteur droit 45">
            <a:extLst>
              <a:ext uri="{FF2B5EF4-FFF2-40B4-BE49-F238E27FC236}">
                <a16:creationId xmlns:a16="http://schemas.microsoft.com/office/drawing/2014/main" id="{011605B0-033B-4ED4-8F66-43A3858D2D0A}"/>
              </a:ext>
            </a:extLst>
          </xdr:cNvPr>
          <xdr:cNvCxnSpPr/>
        </xdr:nvCxnSpPr>
        <xdr:spPr>
          <a:xfrm>
            <a:off x="2753601" y="713429"/>
            <a:ext cx="0" cy="1304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658813</xdr:colOff>
      <xdr:row>11</xdr:row>
      <xdr:rowOff>127000</xdr:rowOff>
    </xdr:from>
    <xdr:to>
      <xdr:col>13</xdr:col>
      <xdr:colOff>190500</xdr:colOff>
      <xdr:row>13</xdr:row>
      <xdr:rowOff>7937</xdr:rowOff>
    </xdr:to>
    <xdr:sp macro="" textlink="">
      <xdr:nvSpPr>
        <xdr:cNvPr id="2" name="Flèche : haut 1">
          <a:extLst>
            <a:ext uri="{FF2B5EF4-FFF2-40B4-BE49-F238E27FC236}">
              <a16:creationId xmlns:a16="http://schemas.microsoft.com/office/drawing/2014/main" id="{48071C26-2979-4B44-8A0B-51B37E1F7B7D}"/>
            </a:ext>
          </a:extLst>
        </xdr:cNvPr>
        <xdr:cNvSpPr/>
      </xdr:nvSpPr>
      <xdr:spPr>
        <a:xfrm>
          <a:off x="14501813" y="2135188"/>
          <a:ext cx="333375" cy="230187"/>
        </a:xfrm>
        <a:prstGeom prst="upArrow">
          <a:avLst/>
        </a:prstGeom>
        <a:solidFill>
          <a:srgbClr val="801E1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658813</xdr:colOff>
      <xdr:row>11</xdr:row>
      <xdr:rowOff>127000</xdr:rowOff>
    </xdr:from>
    <xdr:to>
      <xdr:col>13</xdr:col>
      <xdr:colOff>190500</xdr:colOff>
      <xdr:row>13</xdr:row>
      <xdr:rowOff>7937</xdr:rowOff>
    </xdr:to>
    <xdr:sp macro="" textlink="">
      <xdr:nvSpPr>
        <xdr:cNvPr id="2" name="Flèche : haut 1">
          <a:extLst>
            <a:ext uri="{FF2B5EF4-FFF2-40B4-BE49-F238E27FC236}">
              <a16:creationId xmlns:a16="http://schemas.microsoft.com/office/drawing/2014/main" id="{62217FC2-77DE-4DBC-9E9B-87D0CBE7AF09}"/>
            </a:ext>
          </a:extLst>
        </xdr:cNvPr>
        <xdr:cNvSpPr/>
      </xdr:nvSpPr>
      <xdr:spPr>
        <a:xfrm>
          <a:off x="14489113" y="2159000"/>
          <a:ext cx="331787" cy="236537"/>
        </a:xfrm>
        <a:prstGeom prst="upArrow">
          <a:avLst/>
        </a:prstGeom>
        <a:solidFill>
          <a:srgbClr val="801E1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658813</xdr:colOff>
      <xdr:row>9</xdr:row>
      <xdr:rowOff>127000</xdr:rowOff>
    </xdr:from>
    <xdr:to>
      <xdr:col>13</xdr:col>
      <xdr:colOff>190500</xdr:colOff>
      <xdr:row>11</xdr:row>
      <xdr:rowOff>7937</xdr:rowOff>
    </xdr:to>
    <xdr:sp macro="" textlink="">
      <xdr:nvSpPr>
        <xdr:cNvPr id="2" name="Flèche : haut 1">
          <a:extLst>
            <a:ext uri="{FF2B5EF4-FFF2-40B4-BE49-F238E27FC236}">
              <a16:creationId xmlns:a16="http://schemas.microsoft.com/office/drawing/2014/main" id="{4042EAA0-0D40-4059-B62A-094BB5E61D53}"/>
            </a:ext>
          </a:extLst>
        </xdr:cNvPr>
        <xdr:cNvSpPr/>
      </xdr:nvSpPr>
      <xdr:spPr>
        <a:xfrm>
          <a:off x="17708563" y="2165350"/>
          <a:ext cx="331787" cy="236537"/>
        </a:xfrm>
        <a:prstGeom prst="upArrow">
          <a:avLst/>
        </a:prstGeom>
        <a:solidFill>
          <a:srgbClr val="801E1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ohamed Alabed" id="{DD0BCF29-EE50-452E-8562-FE8DDE8B1527}" userId="S::mohamed.alabed@southbgroup.com::76fa04b9-5e54-4202-8b0f-7f4a4e526f84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74" dT="2020-09-25T01:06:28.51" personId="{DD0BCF29-EE50-452E-8562-FE8DDE8B1527}" id="{57BD6BA0-C969-4933-9045-FA76B4C55DC7}">
    <text>Overall rating score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FA5C6-D6B7-4205-93AD-EFE1F7B60671}">
  <sheetPr>
    <tabColor theme="4" tint="0.39997558519241921"/>
  </sheetPr>
  <dimension ref="B2:AZ96"/>
  <sheetViews>
    <sheetView showGridLines="0" zoomScale="25" zoomScaleNormal="25" workbookViewId="0">
      <selection activeCell="AD33" sqref="AD33:AZ77"/>
    </sheetView>
  </sheetViews>
  <sheetFormatPr baseColWidth="10" defaultRowHeight="14.25" outlineLevelCol="1"/>
  <cols>
    <col min="2" max="2" width="31.75" customWidth="1"/>
    <col min="3" max="3" width="12.75" customWidth="1"/>
    <col min="4" max="4" width="31.75" customWidth="1"/>
    <col min="6" max="6" width="31.75" customWidth="1"/>
    <col min="7" max="7" width="4.25" customWidth="1"/>
    <col min="8" max="8" width="31.75" hidden="1" customWidth="1" outlineLevel="1"/>
    <col min="9" max="9" width="4.25" hidden="1" customWidth="1" outlineLevel="1"/>
    <col min="10" max="10" width="139.125" hidden="1" customWidth="1" outlineLevel="1"/>
    <col min="11" max="11" width="19.875" hidden="1" customWidth="1" outlineLevel="1"/>
    <col min="12" max="12" width="13" hidden="1" customWidth="1" outlineLevel="1"/>
    <col min="13" max="13" width="10.875" hidden="1" customWidth="1" outlineLevel="1"/>
    <col min="14" max="14" width="23.5" hidden="1" customWidth="1" outlineLevel="1"/>
    <col min="15" max="15" width="10.875" hidden="1" customWidth="1" outlineLevel="1"/>
    <col min="16" max="16" width="18.5" hidden="1" customWidth="1" outlineLevel="1"/>
    <col min="17" max="17" width="10.875" hidden="1" customWidth="1" outlineLevel="1"/>
    <col min="18" max="18" width="31.75" hidden="1" customWidth="1" outlineLevel="1"/>
    <col min="19" max="19" width="4.25" customWidth="1" collapsed="1"/>
    <col min="20" max="20" width="31.75" customWidth="1"/>
    <col min="22" max="22" width="31.75" customWidth="1"/>
    <col min="24" max="24" width="31.75" customWidth="1"/>
    <col min="26" max="27" width="0" hidden="1" customWidth="1"/>
  </cols>
  <sheetData>
    <row r="2" spans="2:24">
      <c r="B2" s="149" t="s">
        <v>415</v>
      </c>
      <c r="C2" s="149"/>
      <c r="D2" s="149"/>
      <c r="E2" s="149"/>
      <c r="F2" s="149"/>
      <c r="T2" s="149" t="s">
        <v>414</v>
      </c>
      <c r="U2" s="149"/>
      <c r="V2" s="149"/>
      <c r="W2" s="149"/>
      <c r="X2" s="149"/>
    </row>
    <row r="3" spans="2:24" ht="23.1" customHeight="1">
      <c r="B3" s="149"/>
      <c r="C3" s="149"/>
      <c r="D3" s="149"/>
      <c r="E3" s="149"/>
      <c r="F3" s="149"/>
      <c r="T3" s="149"/>
      <c r="U3" s="149"/>
      <c r="V3" s="149"/>
      <c r="W3" s="149"/>
      <c r="X3" s="149"/>
    </row>
    <row r="5" spans="2:24" ht="14.45" customHeight="1">
      <c r="B5" s="174" t="s">
        <v>409</v>
      </c>
      <c r="D5" s="174" t="s">
        <v>405</v>
      </c>
      <c r="F5" s="150" t="s">
        <v>413</v>
      </c>
      <c r="H5" s="152" t="s">
        <v>396</v>
      </c>
      <c r="J5" s="1" t="str">
        <f>'CAPITAL ADEQUACY'!A3</f>
        <v>CAPITAL POSITION</v>
      </c>
      <c r="K5" s="1"/>
      <c r="L5" s="1"/>
      <c r="N5" s="117" t="s">
        <v>406</v>
      </c>
      <c r="O5" s="117" t="s">
        <v>407</v>
      </c>
      <c r="P5" s="117" t="s">
        <v>408</v>
      </c>
      <c r="R5" s="153">
        <f>N9/P9</f>
        <v>1</v>
      </c>
      <c r="T5" s="177">
        <f>N27/P27</f>
        <v>0.70285714285714296</v>
      </c>
      <c r="V5" s="171">
        <f>N50/P50</f>
        <v>0.69714285714285718</v>
      </c>
      <c r="X5" s="171">
        <f>N56/P56</f>
        <v>0.69714285714285718</v>
      </c>
    </row>
    <row r="6" spans="2:24" ht="14.45" customHeight="1">
      <c r="B6" s="175"/>
      <c r="D6" s="175"/>
      <c r="F6" s="151"/>
      <c r="H6" s="152"/>
      <c r="I6" s="99"/>
      <c r="J6" s="40" t="s">
        <v>115</v>
      </c>
      <c r="K6" s="41"/>
      <c r="L6" s="42" t="str">
        <f>'CAPITAL ADEQUACY'!C4</f>
        <v>Aaa</v>
      </c>
      <c r="N6" s="118">
        <f>IF('CAPITAL ADEQUACY'!C4="Aaa",21,IF('CAPITAL ADEQUACY'!C4="Aa",19,IF('CAPITAL ADEQUACY'!C4="A",16,IF('CAPITAL ADEQUACY'!C4="Baa",13,IF('CAPITAL ADEQUACY'!C4="Ba",10,IF('CAPITAL ADEQUACY'!C4="B",7,IF('CAPITAL ADEQUACY'!C4="Caa",4,2)))))))</f>
        <v>21</v>
      </c>
      <c r="O6" s="119">
        <v>0.2</v>
      </c>
      <c r="P6" s="118"/>
      <c r="R6" s="153"/>
      <c r="T6" s="177"/>
      <c r="U6" s="116"/>
      <c r="V6" s="172"/>
      <c r="X6" s="172"/>
    </row>
    <row r="7" spans="2:24" ht="14.45" customHeight="1">
      <c r="B7" s="175"/>
      <c r="D7" s="175"/>
      <c r="F7" s="151"/>
      <c r="H7" s="152"/>
      <c r="I7" s="99"/>
      <c r="J7" t="str">
        <f>'CAPITAL ADEQUACY'!A8</f>
        <v>(i) Forward-looking view of leverage</v>
      </c>
      <c r="K7" t="str">
        <f>'CAPITAL ADEQUACY'!B8</f>
        <v>[+3; -3 notches]</v>
      </c>
      <c r="L7" s="103">
        <f>'CAPITAL ADEQUACY'!C8</f>
        <v>0</v>
      </c>
      <c r="N7" s="118">
        <f>N6+L7</f>
        <v>21</v>
      </c>
      <c r="O7" s="119"/>
      <c r="P7" s="118"/>
      <c r="R7" s="153"/>
      <c r="T7" s="177"/>
      <c r="V7" s="172"/>
      <c r="X7" s="172"/>
    </row>
    <row r="8" spans="2:24">
      <c r="B8" s="175"/>
      <c r="D8" s="175"/>
      <c r="F8" s="151"/>
      <c r="H8" s="152"/>
      <c r="I8" s="99"/>
      <c r="J8" t="str">
        <f>'CAPITAL ADEQUACY'!A9</f>
        <v>(ii) Profit and Loss track recordover several years and expectation of future profitability levels</v>
      </c>
      <c r="K8" t="str">
        <f>'CAPITAL ADEQUACY'!B9</f>
        <v>[+1 to -1 notch]</v>
      </c>
      <c r="L8" s="103">
        <f>'CAPITAL ADEQUACY'!C9</f>
        <v>0</v>
      </c>
      <c r="N8" s="118">
        <f>N7+L8</f>
        <v>21</v>
      </c>
      <c r="O8" s="118"/>
      <c r="P8" s="118"/>
      <c r="R8" s="153"/>
      <c r="T8" s="177"/>
      <c r="V8" s="172"/>
      <c r="X8" s="172"/>
    </row>
    <row r="9" spans="2:24" ht="15">
      <c r="B9" s="175"/>
      <c r="D9" s="175"/>
      <c r="F9" s="151"/>
      <c r="I9" s="99"/>
      <c r="K9" s="98"/>
      <c r="L9" s="100"/>
      <c r="N9" s="120">
        <f>N8*O6</f>
        <v>4.2</v>
      </c>
      <c r="O9" s="118"/>
      <c r="P9" s="120">
        <f>21*O6</f>
        <v>4.2</v>
      </c>
      <c r="R9" s="102"/>
      <c r="T9" s="177"/>
      <c r="V9" s="172"/>
      <c r="X9" s="172"/>
    </row>
    <row r="10" spans="2:24" ht="15">
      <c r="B10" s="175"/>
      <c r="D10" s="175"/>
      <c r="F10" s="151"/>
      <c r="H10" s="152" t="s">
        <v>395</v>
      </c>
      <c r="I10" s="99"/>
      <c r="J10" s="114" t="str">
        <f>'CAPITAL ADEQUACY'!A10</f>
        <v>DEVELOPMENT ASSET CREDIT QUALITY</v>
      </c>
      <c r="K10" s="113"/>
      <c r="L10" s="113"/>
      <c r="N10" s="120"/>
      <c r="O10" s="118"/>
      <c r="P10" s="120"/>
      <c r="R10" s="153">
        <f>N20/P20</f>
        <v>0.56190476190476191</v>
      </c>
      <c r="T10" s="177"/>
      <c r="V10" s="172"/>
      <c r="X10" s="172"/>
    </row>
    <row r="11" spans="2:24" ht="14.45" customHeight="1">
      <c r="B11" s="175"/>
      <c r="D11" s="175"/>
      <c r="F11" s="151"/>
      <c r="H11" s="152"/>
      <c r="I11" s="99"/>
      <c r="J11" s="40" t="s">
        <v>177</v>
      </c>
      <c r="K11" s="49"/>
      <c r="L11" s="50" t="str">
        <f>'CAPITAL ADEQUACY'!C11</f>
        <v>Caa</v>
      </c>
      <c r="N11" s="118">
        <f>IF('CAPITAL ADEQUACY'!C11="Aaa",21,IF('CAPITAL ADEQUACY'!C11="Aa",19,IF('CAPITAL ADEQUACY'!C11="A",16,IF('CAPITAL ADEQUACY'!C11="Baa",13,IF('CAPITAL ADEQUACY'!C11="Ba",10,IF('CAPITAL ADEQUACY'!C11="B",7,IF('CAPITAL ADEQUACY'!C11="Caa",4,2)))))))</f>
        <v>4</v>
      </c>
      <c r="O11" s="119">
        <v>0.02</v>
      </c>
      <c r="P11" s="118"/>
      <c r="R11" s="153"/>
      <c r="T11" s="177"/>
      <c r="V11" s="172"/>
      <c r="X11" s="172"/>
    </row>
    <row r="12" spans="2:24">
      <c r="B12" s="175"/>
      <c r="D12" s="175"/>
      <c r="F12" s="151"/>
      <c r="H12" s="152"/>
      <c r="I12" s="99"/>
      <c r="K12" s="98"/>
      <c r="N12" s="118"/>
      <c r="O12" s="118"/>
      <c r="P12" s="118"/>
      <c r="R12" s="153"/>
      <c r="T12" s="177"/>
      <c r="V12" s="172"/>
      <c r="X12" s="172"/>
    </row>
    <row r="13" spans="2:24" ht="15">
      <c r="B13" s="175"/>
      <c r="D13" s="175"/>
      <c r="F13" s="151"/>
      <c r="H13" s="152"/>
      <c r="I13" s="99"/>
      <c r="J13" s="40" t="s">
        <v>34</v>
      </c>
      <c r="K13" s="41"/>
      <c r="L13" s="42" t="str">
        <f>'CAPITAL ADEQUACY'!C13</f>
        <v>A</v>
      </c>
      <c r="N13" s="118">
        <f>IF('CAPITAL ADEQUACY'!C13="Aaa",21,IF('CAPITAL ADEQUACY'!C13="Aa",19,IF('CAPITAL ADEQUACY'!C13="A",16,13)))</f>
        <v>16</v>
      </c>
      <c r="O13" s="119">
        <v>0.02</v>
      </c>
      <c r="P13" s="118"/>
      <c r="R13" s="153"/>
      <c r="T13" s="177"/>
      <c r="V13" s="172"/>
      <c r="X13" s="172"/>
    </row>
    <row r="14" spans="2:24">
      <c r="B14" s="175"/>
      <c r="D14" s="175"/>
      <c r="F14" s="151"/>
      <c r="H14" s="152"/>
      <c r="I14" s="99"/>
      <c r="K14" s="98"/>
      <c r="N14" s="118"/>
      <c r="O14" s="118"/>
      <c r="P14" s="118"/>
      <c r="R14" s="153"/>
      <c r="T14" s="177"/>
      <c r="V14" s="172"/>
      <c r="X14" s="172"/>
    </row>
    <row r="15" spans="2:24" ht="15">
      <c r="B15" s="175"/>
      <c r="D15" s="175"/>
      <c r="F15" s="151"/>
      <c r="H15" s="152"/>
      <c r="I15" s="99"/>
      <c r="J15" s="40" t="str">
        <f>'CAPITAL ADEQUACY'!A20</f>
        <v>Exposure to Riskier Types of Assets</v>
      </c>
      <c r="K15" s="41"/>
      <c r="L15" s="42" t="str">
        <f>'CAPITAL ADEQUACY'!C20</f>
        <v>Caa</v>
      </c>
      <c r="N15" s="118">
        <f>IF('CAPITAL ADEQUACY'!C20="Aaa",21,IF('CAPITAL ADEQUACY'!C20="Aa",19,IF('CAPITAL ADEQUACY'!C20="A",16,IF('CAPITAL ADEQUACY'!C20="Baa",13,IF('CAPITAL ADEQUACY'!C20="Ba",10,IF('CAPITAL ADEQUACY'!C20="B",7,IF('CAPITAL ADEQUACY'!C20="Caa",4,2)))))))</f>
        <v>4</v>
      </c>
      <c r="O15" s="119">
        <v>0.02</v>
      </c>
      <c r="P15" s="118"/>
      <c r="R15" s="153"/>
      <c r="T15" s="177"/>
      <c r="V15" s="172"/>
      <c r="X15" s="172"/>
    </row>
    <row r="16" spans="2:24">
      <c r="B16" s="175"/>
      <c r="D16" s="175"/>
      <c r="F16" s="151"/>
      <c r="H16" s="152"/>
      <c r="I16" s="99"/>
      <c r="K16" s="98"/>
      <c r="N16" s="118"/>
      <c r="O16" s="118"/>
      <c r="P16" s="118"/>
      <c r="R16" s="153"/>
      <c r="T16" s="177"/>
      <c r="V16" s="172"/>
      <c r="X16" s="172"/>
    </row>
    <row r="17" spans="2:52" ht="15">
      <c r="B17" s="175"/>
      <c r="D17" s="175"/>
      <c r="F17" s="151"/>
      <c r="H17" s="152"/>
      <c r="I17" s="99"/>
      <c r="J17" s="40" t="str">
        <f>'CAPITAL ADEQUACY'!A25</f>
        <v>Weight of Top obligor of Total Development Assets</v>
      </c>
      <c r="K17" s="41"/>
      <c r="L17" s="42" t="str">
        <f>'CAPITAL ADEQUACY'!C25</f>
        <v>Aa</v>
      </c>
      <c r="N17" s="118">
        <f>IF('CAPITAL ADEQUACY'!C25="Aaa",21,IF('CAPITAL ADEQUACY'!C25="Aa",19,IF('CAPITAL ADEQUACY'!C25="A",16,IF('CAPITAL ADEQUACY'!C25="Baa",13,IF('CAPITAL ADEQUACY'!C25="Ba",10,IF('CAPITAL ADEQUACY'!C25="B",7,IF('CAPITAL ADEQUACY'!C25="Caa",4,2)))))))</f>
        <v>19</v>
      </c>
      <c r="O17" s="119">
        <v>0.02</v>
      </c>
      <c r="P17" s="118"/>
      <c r="R17" s="153"/>
      <c r="T17" s="177"/>
      <c r="V17" s="172"/>
      <c r="X17" s="172"/>
    </row>
    <row r="18" spans="2:52">
      <c r="B18" s="175"/>
      <c r="D18" s="175"/>
      <c r="F18" s="151"/>
      <c r="H18" s="152"/>
      <c r="I18" s="99"/>
      <c r="K18" s="98"/>
      <c r="N18" s="118"/>
      <c r="O18" s="118"/>
      <c r="P18" s="118"/>
      <c r="R18" s="153"/>
      <c r="T18" s="177"/>
      <c r="V18" s="172"/>
      <c r="X18" s="172"/>
    </row>
    <row r="19" spans="2:52" ht="15">
      <c r="B19" s="175"/>
      <c r="D19" s="175"/>
      <c r="F19" s="151"/>
      <c r="H19" s="152"/>
      <c r="I19" s="99"/>
      <c r="J19" s="40" t="str">
        <f>'CAPITAL ADEQUACY'!A26</f>
        <v>Weight of Top 10 obligors of Total Development Assets</v>
      </c>
      <c r="K19" s="41"/>
      <c r="L19" s="42" t="str">
        <f>'CAPITAL ADEQUACY'!C26</f>
        <v>A</v>
      </c>
      <c r="N19" s="118">
        <f>IF('CAPITAL ADEQUACY'!C26="Aaa",21,IF('CAPITAL ADEQUACY'!C26="Aa",19,IF('CAPITAL ADEQUACY'!C26="A",16,IF('CAPITAL ADEQUACY'!C26="Baa",13,IF('CAPITAL ADEQUACY'!C26="Ba",10,IF('CAPITAL ADEQUACY'!C26="B",7,IF('CAPITAL ADEQUACY'!C26="Caa",4,2)))))))</f>
        <v>16</v>
      </c>
      <c r="O19" s="119">
        <v>0.02</v>
      </c>
      <c r="P19" s="118"/>
      <c r="R19" s="153"/>
      <c r="T19" s="177"/>
      <c r="V19" s="172"/>
      <c r="X19" s="172"/>
    </row>
    <row r="20" spans="2:52" ht="15">
      <c r="B20" s="175"/>
      <c r="D20" s="175"/>
      <c r="F20" s="151"/>
      <c r="H20" s="152"/>
      <c r="I20" s="99"/>
      <c r="J20" t="str">
        <f>'CAPITAL ADEQUACY'!A29</f>
        <v>Forward estimate of the quality of development assets, typically over a two-year forward horizon</v>
      </c>
      <c r="K20" t="str">
        <f>'CAPITAL ADEQUACY'!B29</f>
        <v>[+2 to -2 notches]</v>
      </c>
      <c r="L20" s="103">
        <f>'CAPITAL ADEQUACY'!C29</f>
        <v>0</v>
      </c>
      <c r="N20" s="120">
        <f>SUMPRODUCT(N11:N19,O11:O19)+L20</f>
        <v>1.1800000000000002</v>
      </c>
      <c r="O20" s="118"/>
      <c r="P20" s="120">
        <f>21*SUM(O11:O19)</f>
        <v>2.1</v>
      </c>
      <c r="R20" s="153"/>
      <c r="T20" s="177"/>
      <c r="V20" s="172"/>
      <c r="X20" s="172"/>
    </row>
    <row r="21" spans="2:52" ht="15">
      <c r="B21" s="175"/>
      <c r="D21" s="175"/>
      <c r="F21" s="151"/>
      <c r="I21" s="99"/>
      <c r="K21" s="98"/>
      <c r="L21" s="100"/>
      <c r="N21" s="120"/>
      <c r="O21" s="119"/>
      <c r="P21" s="118"/>
      <c r="R21" s="102"/>
      <c r="T21" s="177"/>
      <c r="V21" s="172"/>
      <c r="X21" s="172"/>
    </row>
    <row r="22" spans="2:52" ht="15">
      <c r="B22" s="175"/>
      <c r="D22" s="175"/>
      <c r="F22" s="151"/>
      <c r="H22" s="152" t="s">
        <v>397</v>
      </c>
      <c r="I22" s="99"/>
      <c r="J22" s="1" t="str">
        <f>'CAPITAL ADEQUACY'!A30</f>
        <v>ASSET PERFORMANCE</v>
      </c>
      <c r="K22" s="39"/>
      <c r="L22" s="50" t="str">
        <f>'CAPITAL ADEQUACY'!C30</f>
        <v>Ba</v>
      </c>
      <c r="N22" s="118">
        <f>IF('CAPITAL ADEQUACY'!C30="Aaa",21,IF('CAPITAL ADEQUACY'!C30="Aa",19,IF('CAPITAL ADEQUACY'!C30="A",16,IF('CAPITAL ADEQUACY'!C30="Baa",13,IF('CAPITAL ADEQUACY'!C30="Ba",10,IF('CAPITAL ADEQUACY'!C30="B",7,IF('CAPITAL ADEQUACY'!C30="Caa",4,2)))))))</f>
        <v>10</v>
      </c>
      <c r="O22" s="119">
        <v>0.2</v>
      </c>
      <c r="P22" s="118"/>
      <c r="R22" s="153">
        <f>N25/P25</f>
        <v>0.47619047619047616</v>
      </c>
      <c r="T22" s="177"/>
      <c r="V22" s="172"/>
      <c r="X22" s="172"/>
    </row>
    <row r="23" spans="2:52">
      <c r="B23" s="175"/>
      <c r="D23" s="175"/>
      <c r="F23" s="151"/>
      <c r="H23" s="152"/>
      <c r="I23" s="99"/>
      <c r="K23" s="98"/>
      <c r="N23" s="118"/>
      <c r="O23" s="118"/>
      <c r="P23" s="118"/>
      <c r="R23" s="153"/>
      <c r="T23" s="177"/>
      <c r="V23" s="172"/>
      <c r="X23" s="172"/>
    </row>
    <row r="24" spans="2:52">
      <c r="B24" s="175"/>
      <c r="D24" s="175"/>
      <c r="F24" s="151"/>
      <c r="H24" s="152"/>
      <c r="I24" s="99"/>
      <c r="J24" t="str">
        <f>'CAPITAL ADEQUACY'!A34</f>
        <v>(i) Forward-looking view of asset performance, typically over a two-year forward horizon</v>
      </c>
      <c r="K24" t="str">
        <f>'CAPITAL ADEQUACY'!B34</f>
        <v>[+3 to -3 notches]</v>
      </c>
      <c r="L24" s="103">
        <f>'CAPITAL ADEQUACY'!C34</f>
        <v>0</v>
      </c>
      <c r="N24" s="118">
        <f>N22*O22+L24</f>
        <v>2</v>
      </c>
      <c r="O24" s="118"/>
      <c r="P24" s="118"/>
      <c r="R24" s="153"/>
      <c r="T24" s="177"/>
      <c r="V24" s="172"/>
      <c r="X24" s="172"/>
    </row>
    <row r="25" spans="2:52" ht="15">
      <c r="B25" s="175"/>
      <c r="D25" s="175"/>
      <c r="F25" s="151"/>
      <c r="H25" s="152"/>
      <c r="I25" s="99"/>
      <c r="J25" t="str">
        <f>'CAPITAL ADEQUACY'!A35</f>
        <v>(ii) Excessive growth (&gt;10 %)</v>
      </c>
      <c r="K25" t="str">
        <f>'CAPITAL ADEQUACY'!B35</f>
        <v>[+0 to -3 notches]</v>
      </c>
      <c r="L25" s="103">
        <f>'CAPITAL ADEQUACY'!C35</f>
        <v>0</v>
      </c>
      <c r="N25" s="120">
        <f>N24+L25</f>
        <v>2</v>
      </c>
      <c r="O25" s="118"/>
      <c r="P25" s="120">
        <f>21*O22</f>
        <v>4.2</v>
      </c>
      <c r="R25" s="153"/>
      <c r="T25" s="177"/>
      <c r="V25" s="172"/>
      <c r="X25" s="172"/>
    </row>
    <row r="26" spans="2:52" ht="15" collapsed="1">
      <c r="B26" s="175"/>
      <c r="D26" s="175"/>
      <c r="K26" s="98"/>
      <c r="N26" s="120"/>
      <c r="O26" s="119"/>
      <c r="P26" s="118"/>
      <c r="T26" s="115"/>
      <c r="V26" s="172"/>
      <c r="X26" s="172"/>
    </row>
    <row r="27" spans="2:52" ht="15">
      <c r="B27" s="175"/>
      <c r="D27" s="175"/>
      <c r="K27" s="98"/>
      <c r="N27" s="121">
        <f>(N9+N20+N25)*2</f>
        <v>14.760000000000002</v>
      </c>
      <c r="O27" s="122"/>
      <c r="P27" s="121">
        <v>21</v>
      </c>
      <c r="T27" s="115"/>
      <c r="V27" s="172"/>
      <c r="X27" s="172"/>
    </row>
    <row r="28" spans="2:52">
      <c r="B28" s="175"/>
      <c r="D28" s="175"/>
      <c r="K28" s="98"/>
      <c r="N28" s="118"/>
      <c r="O28" s="118"/>
      <c r="P28" s="118"/>
      <c r="T28" s="115"/>
      <c r="V28" s="172"/>
      <c r="X28" s="172"/>
    </row>
    <row r="29" spans="2:52" ht="14.45" customHeight="1">
      <c r="B29" s="175"/>
      <c r="D29" s="175"/>
      <c r="F29" s="150" t="s">
        <v>412</v>
      </c>
      <c r="H29" s="152" t="s">
        <v>398</v>
      </c>
      <c r="J29" s="1" t="str">
        <f>'LIQUIDITY AND FUNDING'!A3</f>
        <v>Availability of Liquid Resources</v>
      </c>
      <c r="K29" s="2"/>
      <c r="L29" s="2"/>
      <c r="N29" s="118"/>
      <c r="O29" s="118"/>
      <c r="P29" s="118"/>
      <c r="R29" s="153">
        <f>N33/P33</f>
        <v>1</v>
      </c>
      <c r="T29" s="177">
        <f>N48/P48</f>
        <v>0.69142857142857139</v>
      </c>
      <c r="V29" s="172"/>
      <c r="X29" s="172"/>
    </row>
    <row r="30" spans="2:52" ht="14.45" customHeight="1">
      <c r="B30" s="175"/>
      <c r="D30" s="175"/>
      <c r="F30" s="151"/>
      <c r="H30" s="152"/>
      <c r="J30" s="40" t="str">
        <f>'LIQUIDITY AND FUNDING'!A4</f>
        <v>Capacity to readily sell assets</v>
      </c>
      <c r="K30" s="61"/>
      <c r="L30" s="50" t="str">
        <f>'LIQUIDITY AND FUNDING'!C4</f>
        <v>Aaa</v>
      </c>
      <c r="N30" s="118">
        <f>IF('LIQUIDITY AND FUNDING'!C4="Aaa",21,IF('LIQUIDITY AND FUNDING'!C4="Aa",19,IF('LIQUIDITY AND FUNDING'!C4="A",16,IF('LIQUIDITY AND FUNDING'!C4="Baa",13,IF('LIQUIDITY AND FUNDING'!C4="Ba",10,IF('LIQUIDITY AND FUNDING'!C4="B",7,IF('LIQUIDITY AND FUNDING'!C4="Caa",4,2)))))))</f>
        <v>21</v>
      </c>
      <c r="O30" s="119">
        <v>0.3</v>
      </c>
      <c r="P30" s="118"/>
      <c r="R30" s="153"/>
      <c r="T30" s="177"/>
      <c r="V30" s="172"/>
      <c r="X30" s="172"/>
      <c r="AD30" s="159" t="s">
        <v>410</v>
      </c>
      <c r="AE30" s="159"/>
      <c r="AF30" s="159"/>
      <c r="AG30" s="159"/>
      <c r="AH30" s="159"/>
      <c r="AI30" s="159"/>
      <c r="AJ30" s="159"/>
      <c r="AK30" s="159"/>
      <c r="AL30" s="159"/>
      <c r="AM30" s="159"/>
      <c r="AN30" s="159"/>
      <c r="AO30" s="159"/>
      <c r="AP30" s="159"/>
      <c r="AQ30" s="159"/>
      <c r="AR30" s="159"/>
      <c r="AS30" s="159"/>
      <c r="AT30" s="159"/>
      <c r="AU30" s="159"/>
      <c r="AV30" s="159"/>
      <c r="AW30" s="159"/>
      <c r="AX30" s="159"/>
      <c r="AY30" s="159"/>
      <c r="AZ30" s="159"/>
    </row>
    <row r="31" spans="2:52" ht="14.45" customHeight="1">
      <c r="B31" s="175"/>
      <c r="D31" s="175"/>
      <c r="F31" s="151"/>
      <c r="H31" s="152"/>
      <c r="K31" s="98"/>
      <c r="N31" s="118"/>
      <c r="O31" s="118"/>
      <c r="P31" s="118"/>
      <c r="R31" s="153"/>
      <c r="T31" s="177"/>
      <c r="V31" s="172"/>
      <c r="X31" s="172"/>
      <c r="AD31" s="159"/>
      <c r="AE31" s="159"/>
      <c r="AF31" s="159"/>
      <c r="AG31" s="159"/>
      <c r="AH31" s="159"/>
      <c r="AI31" s="159"/>
      <c r="AJ31" s="159"/>
      <c r="AK31" s="159"/>
      <c r="AL31" s="159"/>
      <c r="AM31" s="159"/>
      <c r="AN31" s="159"/>
      <c r="AO31" s="159"/>
      <c r="AP31" s="159"/>
      <c r="AQ31" s="159"/>
      <c r="AR31" s="159"/>
      <c r="AS31" s="159"/>
      <c r="AT31" s="159"/>
      <c r="AU31" s="159"/>
      <c r="AV31" s="159"/>
      <c r="AW31" s="159"/>
      <c r="AX31" s="159"/>
      <c r="AY31" s="159"/>
      <c r="AZ31" s="159"/>
    </row>
    <row r="32" spans="2:52" ht="14.45" customHeight="1">
      <c r="B32" s="175"/>
      <c r="D32" s="175"/>
      <c r="F32" s="151"/>
      <c r="H32" s="152"/>
      <c r="J32" t="str">
        <f>'LIQUIDITY AND FUNDING'!A7</f>
        <v>(i) Forward looking view of liquid asset coverage over 3 years</v>
      </c>
      <c r="K32" t="str">
        <f>'LIQUIDITY AND FUNDING'!B7</f>
        <v>[+3 to -3 notches]</v>
      </c>
      <c r="L32" s="103">
        <f>'LIQUIDITY AND FUNDING'!C7</f>
        <v>0</v>
      </c>
      <c r="N32" s="118">
        <f>N30*O30+L32</f>
        <v>6.3</v>
      </c>
      <c r="O32" s="118"/>
      <c r="P32" s="118"/>
      <c r="R32" s="153"/>
      <c r="T32" s="177"/>
      <c r="V32" s="172"/>
      <c r="X32" s="172"/>
      <c r="AD32" s="159"/>
      <c r="AE32" s="159"/>
      <c r="AF32" s="159"/>
      <c r="AG32" s="159"/>
      <c r="AH32" s="159"/>
      <c r="AI32" s="159"/>
      <c r="AJ32" s="159"/>
      <c r="AK32" s="159"/>
      <c r="AL32" s="159"/>
      <c r="AM32" s="159"/>
      <c r="AN32" s="159"/>
      <c r="AO32" s="159"/>
      <c r="AP32" s="159"/>
      <c r="AQ32" s="159"/>
      <c r="AR32" s="159"/>
      <c r="AS32" s="159"/>
      <c r="AT32" s="159"/>
      <c r="AU32" s="159"/>
      <c r="AV32" s="159"/>
      <c r="AW32" s="159"/>
      <c r="AX32" s="159"/>
      <c r="AY32" s="159"/>
      <c r="AZ32" s="159"/>
    </row>
    <row r="33" spans="2:52" ht="14.45" customHeight="1">
      <c r="B33" s="175"/>
      <c r="D33" s="175"/>
      <c r="F33" s="151"/>
      <c r="H33" s="152"/>
      <c r="J33" t="str">
        <f>'LIQUIDITY AND FUNDING'!A8</f>
        <v>(ii) Presence of special liquidity mechanisms that effectively mitigate liquidity risk, liquidity provider credit quality has to be a Baa3-equivalent or higher</v>
      </c>
      <c r="K33" t="str">
        <f>'LIQUIDITY AND FUNDING'!B8</f>
        <v>[+3 to +0 notch]</v>
      </c>
      <c r="L33" s="103">
        <f>'LIQUIDITY AND FUNDING'!C8</f>
        <v>0</v>
      </c>
      <c r="N33" s="120">
        <f>N32+L33</f>
        <v>6.3</v>
      </c>
      <c r="O33" s="118"/>
      <c r="P33" s="120">
        <f>N30*O30</f>
        <v>6.3</v>
      </c>
      <c r="R33" s="153"/>
      <c r="T33" s="177"/>
      <c r="V33" s="172"/>
      <c r="X33" s="172"/>
      <c r="AD33" s="162" t="str" cm="1">
        <f t="array" ref="AD33">INDEX('MOODY''S DATA'!$BV$2:$BV$22,MATCH(ROUNDDOWN(21*B94,0),'MOODY''S DATA'!$BW$2:$BW$22,0),)</f>
        <v>A3</v>
      </c>
      <c r="AE33" s="163"/>
      <c r="AF33" s="163"/>
      <c r="AG33" s="163"/>
      <c r="AH33" s="163"/>
      <c r="AI33" s="163"/>
      <c r="AJ33" s="163"/>
      <c r="AK33" s="163"/>
      <c r="AL33" s="163"/>
      <c r="AM33" s="163"/>
      <c r="AN33" s="163"/>
      <c r="AO33" s="163"/>
      <c r="AP33" s="163"/>
      <c r="AQ33" s="163"/>
      <c r="AR33" s="163"/>
      <c r="AS33" s="163"/>
      <c r="AT33" s="163"/>
      <c r="AU33" s="163"/>
      <c r="AV33" s="163"/>
      <c r="AW33" s="163"/>
      <c r="AX33" s="163"/>
      <c r="AY33" s="163"/>
      <c r="AZ33" s="164"/>
    </row>
    <row r="34" spans="2:52" ht="14.45" customHeight="1">
      <c r="B34" s="175"/>
      <c r="D34" s="175"/>
      <c r="F34" s="151"/>
      <c r="K34" s="98"/>
      <c r="N34" s="118"/>
      <c r="O34" s="118"/>
      <c r="P34" s="118"/>
      <c r="T34" s="177"/>
      <c r="V34" s="172"/>
      <c r="X34" s="172"/>
      <c r="AD34" s="165"/>
      <c r="AE34" s="166"/>
      <c r="AF34" s="166"/>
      <c r="AG34" s="166"/>
      <c r="AH34" s="166"/>
      <c r="AI34" s="166"/>
      <c r="AJ34" s="166"/>
      <c r="AK34" s="166"/>
      <c r="AL34" s="166"/>
      <c r="AM34" s="166"/>
      <c r="AN34" s="166"/>
      <c r="AO34" s="166"/>
      <c r="AP34" s="166"/>
      <c r="AQ34" s="166"/>
      <c r="AR34" s="166"/>
      <c r="AS34" s="166"/>
      <c r="AT34" s="166"/>
      <c r="AU34" s="166"/>
      <c r="AV34" s="166"/>
      <c r="AW34" s="166"/>
      <c r="AX34" s="166"/>
      <c r="AY34" s="166"/>
      <c r="AZ34" s="167"/>
    </row>
    <row r="35" spans="2:52" ht="14.45" customHeight="1">
      <c r="B35" s="175"/>
      <c r="D35" s="175"/>
      <c r="F35" s="151"/>
      <c r="H35" s="152" t="s">
        <v>399</v>
      </c>
      <c r="J35" s="1" t="str">
        <f>'LIQUIDITY AND FUNDING'!A10</f>
        <v>Quality and Structure of Funding</v>
      </c>
      <c r="K35" s="2"/>
      <c r="L35" s="2"/>
      <c r="N35" s="118"/>
      <c r="O35" s="118"/>
      <c r="P35" s="118"/>
      <c r="R35" s="153">
        <f>N46/P46</f>
        <v>0.22857142857142856</v>
      </c>
      <c r="T35" s="177"/>
      <c r="V35" s="172"/>
      <c r="X35" s="172"/>
      <c r="AD35" s="165"/>
      <c r="AE35" s="166"/>
      <c r="AF35" s="166"/>
      <c r="AG35" s="166"/>
      <c r="AH35" s="166"/>
      <c r="AI35" s="166"/>
      <c r="AJ35" s="166"/>
      <c r="AK35" s="166"/>
      <c r="AL35" s="166"/>
      <c r="AM35" s="166"/>
      <c r="AN35" s="166"/>
      <c r="AO35" s="166"/>
      <c r="AP35" s="166"/>
      <c r="AQ35" s="166"/>
      <c r="AR35" s="166"/>
      <c r="AS35" s="166"/>
      <c r="AT35" s="166"/>
      <c r="AU35" s="166"/>
      <c r="AV35" s="166"/>
      <c r="AW35" s="166"/>
      <c r="AX35" s="166"/>
      <c r="AY35" s="166"/>
      <c r="AZ35" s="167"/>
    </row>
    <row r="36" spans="2:52" ht="14.45" customHeight="1">
      <c r="B36" s="175"/>
      <c r="D36" s="175"/>
      <c r="F36" s="151"/>
      <c r="H36" s="152"/>
      <c r="J36" s="40" t="str">
        <f>'LIQUIDITY AND FUNDING'!A11</f>
        <v>Track record of bond inssuance</v>
      </c>
      <c r="K36" s="61"/>
      <c r="L36" s="61"/>
      <c r="N36" s="118"/>
      <c r="O36" s="118"/>
      <c r="P36" s="118"/>
      <c r="R36" s="153"/>
      <c r="T36" s="177"/>
      <c r="V36" s="172"/>
      <c r="X36" s="172"/>
      <c r="AD36" s="165"/>
      <c r="AE36" s="166"/>
      <c r="AF36" s="166"/>
      <c r="AG36" s="166"/>
      <c r="AH36" s="166"/>
      <c r="AI36" s="166"/>
      <c r="AJ36" s="166"/>
      <c r="AK36" s="166"/>
      <c r="AL36" s="166"/>
      <c r="AM36" s="166"/>
      <c r="AN36" s="166"/>
      <c r="AO36" s="166"/>
      <c r="AP36" s="166"/>
      <c r="AQ36" s="166"/>
      <c r="AR36" s="166"/>
      <c r="AS36" s="166"/>
      <c r="AT36" s="166"/>
      <c r="AU36" s="166"/>
      <c r="AV36" s="166"/>
      <c r="AW36" s="166"/>
      <c r="AX36" s="166"/>
      <c r="AY36" s="166"/>
      <c r="AZ36" s="167"/>
    </row>
    <row r="37" spans="2:52" ht="14.45" customHeight="1">
      <c r="B37" s="175"/>
      <c r="D37" s="175"/>
      <c r="F37" s="151"/>
      <c r="H37" s="152"/>
      <c r="J37" s="3" t="str">
        <f>'LIQUIDITY AND FUNDING'!A12</f>
        <v>Presence in international bond markets</v>
      </c>
      <c r="K37" s="14"/>
      <c r="L37" s="14" t="str">
        <f>'LIQUIDITY AND FUNDING'!C12</f>
        <v>NA</v>
      </c>
      <c r="N37" s="118">
        <f>IF('LIQUIDITY AND FUNDING'!C12="Aaa",21,IF('LIQUIDITY AND FUNDING'!C12="Aa",19,IF('LIQUIDITY AND FUNDING'!C12="A",16,IF('LIQUIDITY AND FUNDING'!C12="Baa",13,IF('LIQUIDITY AND FUNDING'!C12="Ba",10,IF('LIQUIDITY AND FUNDING'!C12="B",7,IF('LIQUIDITY AND FUNDING'!C12="Caa",4,2)))))))</f>
        <v>2</v>
      </c>
      <c r="O37" s="119">
        <v>0.04</v>
      </c>
      <c r="P37" s="118"/>
      <c r="R37" s="153"/>
      <c r="T37" s="177"/>
      <c r="V37" s="172"/>
      <c r="X37" s="172"/>
      <c r="AD37" s="165"/>
      <c r="AE37" s="166"/>
      <c r="AF37" s="166"/>
      <c r="AG37" s="166"/>
      <c r="AH37" s="166"/>
      <c r="AI37" s="166"/>
      <c r="AJ37" s="166"/>
      <c r="AK37" s="166"/>
      <c r="AL37" s="166"/>
      <c r="AM37" s="166"/>
      <c r="AN37" s="166"/>
      <c r="AO37" s="166"/>
      <c r="AP37" s="166"/>
      <c r="AQ37" s="166"/>
      <c r="AR37" s="166"/>
      <c r="AS37" s="166"/>
      <c r="AT37" s="166"/>
      <c r="AU37" s="166"/>
      <c r="AV37" s="166"/>
      <c r="AW37" s="166"/>
      <c r="AX37" s="166"/>
      <c r="AY37" s="166"/>
      <c r="AZ37" s="167"/>
    </row>
    <row r="38" spans="2:52" ht="14.45" customHeight="1">
      <c r="B38" s="175"/>
      <c r="D38" s="175"/>
      <c r="F38" s="151"/>
      <c r="H38" s="152"/>
      <c r="J38" s="40" t="str">
        <f>'LIQUIDITY AND FUNDING'!A13</f>
        <v>Cost of funding relative to peers</v>
      </c>
      <c r="K38" s="61"/>
      <c r="L38" s="61"/>
      <c r="N38" s="118"/>
      <c r="O38" s="118"/>
      <c r="P38" s="118"/>
      <c r="R38" s="153"/>
      <c r="T38" s="177"/>
      <c r="V38" s="172"/>
      <c r="X38" s="172"/>
      <c r="AD38" s="165"/>
      <c r="AE38" s="166"/>
      <c r="AF38" s="166"/>
      <c r="AG38" s="166"/>
      <c r="AH38" s="166"/>
      <c r="AI38" s="166"/>
      <c r="AJ38" s="166"/>
      <c r="AK38" s="166"/>
      <c r="AL38" s="166"/>
      <c r="AM38" s="166"/>
      <c r="AN38" s="166"/>
      <c r="AO38" s="166"/>
      <c r="AP38" s="166"/>
      <c r="AQ38" s="166"/>
      <c r="AR38" s="166"/>
      <c r="AS38" s="166"/>
      <c r="AT38" s="166"/>
      <c r="AU38" s="166"/>
      <c r="AV38" s="166"/>
      <c r="AW38" s="166"/>
      <c r="AX38" s="166"/>
      <c r="AY38" s="166"/>
      <c r="AZ38" s="167"/>
    </row>
    <row r="39" spans="2:52" ht="14.45" customHeight="1">
      <c r="B39" s="175"/>
      <c r="D39" s="175"/>
      <c r="F39" s="151"/>
      <c r="H39" s="152"/>
      <c r="J39" s="3" t="str">
        <f>'LIQUIDITY AND FUNDING'!A14</f>
        <v>Premium over risk-free equivalents</v>
      </c>
      <c r="K39" s="14"/>
      <c r="L39" s="14" t="str">
        <f>'LIQUIDITY AND FUNDING'!C14</f>
        <v>NA</v>
      </c>
      <c r="N39" s="118">
        <f>IF('LIQUIDITY AND FUNDING'!C14="Aaa",21,IF('LIQUIDITY AND FUNDING'!C14="Aa",19,IF('LIQUIDITY AND FUNDING'!C14="A",16,IF('LIQUIDITY AND FUNDING'!C14="Baa",13,IF('LIQUIDITY AND FUNDING'!C14="Ba",10,IF('LIQUIDITY AND FUNDING'!C14="B",7,IF('LIQUIDITY AND FUNDING'!C14="Caa",4,2)))))))</f>
        <v>2</v>
      </c>
      <c r="O39" s="119">
        <v>0.04</v>
      </c>
      <c r="P39" s="118"/>
      <c r="R39" s="153"/>
      <c r="T39" s="177"/>
      <c r="V39" s="172"/>
      <c r="X39" s="172"/>
      <c r="AD39" s="165"/>
      <c r="AE39" s="166"/>
      <c r="AF39" s="166"/>
      <c r="AG39" s="166"/>
      <c r="AH39" s="166"/>
      <c r="AI39" s="166"/>
      <c r="AJ39" s="166"/>
      <c r="AK39" s="166"/>
      <c r="AL39" s="166"/>
      <c r="AM39" s="166"/>
      <c r="AN39" s="166"/>
      <c r="AO39" s="166"/>
      <c r="AP39" s="166"/>
      <c r="AQ39" s="166"/>
      <c r="AR39" s="166"/>
      <c r="AS39" s="166"/>
      <c r="AT39" s="166"/>
      <c r="AU39" s="166"/>
      <c r="AV39" s="166"/>
      <c r="AW39" s="166"/>
      <c r="AX39" s="166"/>
      <c r="AY39" s="166"/>
      <c r="AZ39" s="167"/>
    </row>
    <row r="40" spans="2:52" ht="14.45" customHeight="1">
      <c r="B40" s="175"/>
      <c r="D40" s="175"/>
      <c r="F40" s="151"/>
      <c r="H40" s="152"/>
      <c r="J40" s="40" t="str">
        <f>'LIQUIDITY AND FUNDING'!A15</f>
        <v>Availability of credit lines</v>
      </c>
      <c r="K40" s="61"/>
      <c r="L40" s="61"/>
      <c r="N40" s="118"/>
      <c r="O40" s="118"/>
      <c r="P40" s="118"/>
      <c r="R40" s="153"/>
      <c r="T40" s="177"/>
      <c r="V40" s="172"/>
      <c r="X40" s="172"/>
      <c r="AD40" s="165"/>
      <c r="AE40" s="166"/>
      <c r="AF40" s="166"/>
      <c r="AG40" s="166"/>
      <c r="AH40" s="166"/>
      <c r="AI40" s="166"/>
      <c r="AJ40" s="166"/>
      <c r="AK40" s="166"/>
      <c r="AL40" s="166"/>
      <c r="AM40" s="166"/>
      <c r="AN40" s="166"/>
      <c r="AO40" s="166"/>
      <c r="AP40" s="166"/>
      <c r="AQ40" s="166"/>
      <c r="AR40" s="166"/>
      <c r="AS40" s="166"/>
      <c r="AT40" s="166"/>
      <c r="AU40" s="166"/>
      <c r="AV40" s="166"/>
      <c r="AW40" s="166"/>
      <c r="AX40" s="166"/>
      <c r="AY40" s="166"/>
      <c r="AZ40" s="167"/>
    </row>
    <row r="41" spans="2:52" ht="14.45" customHeight="1">
      <c r="B41" s="175"/>
      <c r="D41" s="175"/>
      <c r="F41" s="151"/>
      <c r="H41" s="152"/>
      <c r="J41" s="3" t="str">
        <f>'LIQUIDITY AND FUNDING'!A16</f>
        <v>Track record, type of lenders and terms &amp; conditions</v>
      </c>
      <c r="K41" s="14"/>
      <c r="L41" s="14" t="str">
        <f>'LIQUIDITY AND FUNDING'!C16</f>
        <v>NA</v>
      </c>
      <c r="N41" s="118">
        <f>IF('LIQUIDITY AND FUNDING'!C16="Aaa",21,IF('LIQUIDITY AND FUNDING'!C16="Aa",19,IF('LIQUIDITY AND FUNDING'!C16="A",16,IF('LIQUIDITY AND FUNDING'!C16="Baa",13,IF('LIQUIDITY AND FUNDING'!C16="Ba",10,IF('LIQUIDITY AND FUNDING'!C16="B",7,IF('LIQUIDITY AND FUNDING'!C16="Caa",4,2)))))))</f>
        <v>2</v>
      </c>
      <c r="O41" s="119">
        <v>0.04</v>
      </c>
      <c r="P41" s="118"/>
      <c r="R41" s="153"/>
      <c r="T41" s="177"/>
      <c r="V41" s="172"/>
      <c r="X41" s="172"/>
      <c r="AD41" s="165"/>
      <c r="AE41" s="166"/>
      <c r="AF41" s="166"/>
      <c r="AG41" s="166"/>
      <c r="AH41" s="166"/>
      <c r="AI41" s="166"/>
      <c r="AJ41" s="166"/>
      <c r="AK41" s="166"/>
      <c r="AL41" s="166"/>
      <c r="AM41" s="166"/>
      <c r="AN41" s="166"/>
      <c r="AO41" s="166"/>
      <c r="AP41" s="166"/>
      <c r="AQ41" s="166"/>
      <c r="AR41" s="166"/>
      <c r="AS41" s="166"/>
      <c r="AT41" s="166"/>
      <c r="AU41" s="166"/>
      <c r="AV41" s="166"/>
      <c r="AW41" s="166"/>
      <c r="AX41" s="166"/>
      <c r="AY41" s="166"/>
      <c r="AZ41" s="167"/>
    </row>
    <row r="42" spans="2:52" ht="14.45" customHeight="1">
      <c r="B42" s="175"/>
      <c r="D42" s="175"/>
      <c r="F42" s="151"/>
      <c r="H42" s="152"/>
      <c r="J42" s="40" t="str">
        <f>'LIQUIDITY AND FUNDING'!A17</f>
        <v>Diversity of funding sources</v>
      </c>
      <c r="K42" s="61"/>
      <c r="L42" s="61"/>
      <c r="N42" s="118"/>
      <c r="O42" s="118"/>
      <c r="P42" s="118"/>
      <c r="R42" s="153"/>
      <c r="T42" s="177"/>
      <c r="V42" s="172"/>
      <c r="X42" s="172"/>
      <c r="AD42" s="165"/>
      <c r="AE42" s="166"/>
      <c r="AF42" s="166"/>
      <c r="AG42" s="166"/>
      <c r="AH42" s="166"/>
      <c r="AI42" s="166"/>
      <c r="AJ42" s="166"/>
      <c r="AK42" s="166"/>
      <c r="AL42" s="166"/>
      <c r="AM42" s="166"/>
      <c r="AN42" s="166"/>
      <c r="AO42" s="166"/>
      <c r="AP42" s="166"/>
      <c r="AQ42" s="166"/>
      <c r="AR42" s="166"/>
      <c r="AS42" s="166"/>
      <c r="AT42" s="166"/>
      <c r="AU42" s="166"/>
      <c r="AV42" s="166"/>
      <c r="AW42" s="166"/>
      <c r="AX42" s="166"/>
      <c r="AY42" s="166"/>
      <c r="AZ42" s="167"/>
    </row>
    <row r="43" spans="2:52" ht="14.45" customHeight="1">
      <c r="B43" s="175"/>
      <c r="D43" s="175"/>
      <c r="F43" s="151"/>
      <c r="H43" s="152"/>
      <c r="J43" s="3" t="str">
        <f>'LIQUIDITY AND FUNDING'!A18</f>
        <v>Access to non-local markets</v>
      </c>
      <c r="K43" s="14"/>
      <c r="L43" s="14" t="str">
        <f>'LIQUIDITY AND FUNDING'!C18</f>
        <v>NA</v>
      </c>
      <c r="N43" s="118">
        <f>IF('LIQUIDITY AND FUNDING'!C18="Aaa",21,IF('LIQUIDITY AND FUNDING'!C18="Aa",19,IF('LIQUIDITY AND FUNDING'!C18="A",16,IF('LIQUIDITY AND FUNDING'!C18="Baa",13,IF('LIQUIDITY AND FUNDING'!C18="Ba",10,IF('LIQUIDITY AND FUNDING'!C18="B",7,IF('LIQUIDITY AND FUNDING'!C18="Caa",4,2)))))))</f>
        <v>2</v>
      </c>
      <c r="O43" s="119">
        <v>0.04</v>
      </c>
      <c r="P43" s="118"/>
      <c r="R43" s="153"/>
      <c r="T43" s="177"/>
      <c r="V43" s="172"/>
      <c r="X43" s="172"/>
      <c r="AD43" s="165"/>
      <c r="AE43" s="166"/>
      <c r="AF43" s="166"/>
      <c r="AG43" s="166"/>
      <c r="AH43" s="166"/>
      <c r="AI43" s="166"/>
      <c r="AJ43" s="166"/>
      <c r="AK43" s="166"/>
      <c r="AL43" s="166"/>
      <c r="AM43" s="166"/>
      <c r="AN43" s="166"/>
      <c r="AO43" s="166"/>
      <c r="AP43" s="166"/>
      <c r="AQ43" s="166"/>
      <c r="AR43" s="166"/>
      <c r="AS43" s="166"/>
      <c r="AT43" s="166"/>
      <c r="AU43" s="166"/>
      <c r="AV43" s="166"/>
      <c r="AW43" s="166"/>
      <c r="AX43" s="166"/>
      <c r="AY43" s="166"/>
      <c r="AZ43" s="167"/>
    </row>
    <row r="44" spans="2:52" ht="14.45" customHeight="1">
      <c r="B44" s="175"/>
      <c r="D44" s="175"/>
      <c r="F44" s="151"/>
      <c r="H44" s="152"/>
      <c r="J44" s="40" t="str">
        <f>'LIQUIDITY AND FUNDING'!A19</f>
        <v>Diversity of investor base</v>
      </c>
      <c r="K44" s="61"/>
      <c r="L44" s="61"/>
      <c r="N44" s="118"/>
      <c r="O44" s="118"/>
      <c r="P44" s="118"/>
      <c r="R44" s="153"/>
      <c r="T44" s="177"/>
      <c r="V44" s="172"/>
      <c r="X44" s="172"/>
      <c r="AD44" s="165"/>
      <c r="AE44" s="166"/>
      <c r="AF44" s="166"/>
      <c r="AG44" s="166"/>
      <c r="AH44" s="166"/>
      <c r="AI44" s="166"/>
      <c r="AJ44" s="166"/>
      <c r="AK44" s="166"/>
      <c r="AL44" s="166"/>
      <c r="AM44" s="166"/>
      <c r="AN44" s="166"/>
      <c r="AO44" s="166"/>
      <c r="AP44" s="166"/>
      <c r="AQ44" s="166"/>
      <c r="AR44" s="166"/>
      <c r="AS44" s="166"/>
      <c r="AT44" s="166"/>
      <c r="AU44" s="166"/>
      <c r="AV44" s="166"/>
      <c r="AW44" s="166"/>
      <c r="AX44" s="166"/>
      <c r="AY44" s="166"/>
      <c r="AZ44" s="167"/>
    </row>
    <row r="45" spans="2:52" ht="14.45" customHeight="1">
      <c r="B45" s="176"/>
      <c r="D45" s="176"/>
      <c r="F45" s="151"/>
      <c r="H45" s="152"/>
      <c r="J45" s="3" t="str">
        <f>'LIQUIDITY AND FUNDING'!A20</f>
        <v>Investor Type, Investor Strategy, Investor Nationality</v>
      </c>
      <c r="K45" s="14"/>
      <c r="L45" s="50" t="str">
        <f>'LIQUIDITY AND FUNDING'!C20</f>
        <v>A</v>
      </c>
      <c r="N45" s="118">
        <f>IF('LIQUIDITY AND FUNDING'!C20="Aaa",21,IF('LIQUIDITY AND FUNDING'!C20="Aa",19,IF('LIQUIDITY AND FUNDING'!C20="A",16,IF('LIQUIDITY AND FUNDING'!C20="Baa",13,IF('LIQUIDITY AND FUNDING'!C20="Ba",10,IF('LIQUIDITY AND FUNDING'!C20="B",7,IF('LIQUIDITY AND FUNDING'!C20="Caa",4,2)))))))</f>
        <v>16</v>
      </c>
      <c r="O45" s="119">
        <v>0.04</v>
      </c>
      <c r="P45" s="118"/>
      <c r="R45" s="153"/>
      <c r="T45" s="177"/>
      <c r="V45" s="173"/>
      <c r="X45" s="173"/>
      <c r="AD45" s="165"/>
      <c r="AE45" s="166"/>
      <c r="AF45" s="166"/>
      <c r="AG45" s="166"/>
      <c r="AH45" s="166"/>
      <c r="AI45" s="166"/>
      <c r="AJ45" s="166"/>
      <c r="AK45" s="166"/>
      <c r="AL45" s="166"/>
      <c r="AM45" s="166"/>
      <c r="AN45" s="166"/>
      <c r="AO45" s="166"/>
      <c r="AP45" s="166"/>
      <c r="AQ45" s="166"/>
      <c r="AR45" s="166"/>
      <c r="AS45" s="166"/>
      <c r="AT45" s="166"/>
      <c r="AU45" s="166"/>
      <c r="AV45" s="166"/>
      <c r="AW45" s="166"/>
      <c r="AX45" s="166"/>
      <c r="AY45" s="166"/>
      <c r="AZ45" s="167"/>
    </row>
    <row r="46" spans="2:52" ht="14.45" customHeight="1">
      <c r="N46" s="120">
        <f>SUMPRODUCT(N37:N45,O37:O45)</f>
        <v>0.96</v>
      </c>
      <c r="O46" s="118"/>
      <c r="P46" s="120">
        <f>21*SUM(O37:O45)</f>
        <v>4.2</v>
      </c>
      <c r="AD46" s="165"/>
      <c r="AE46" s="166"/>
      <c r="AF46" s="166"/>
      <c r="AG46" s="166"/>
      <c r="AH46" s="166"/>
      <c r="AI46" s="166"/>
      <c r="AJ46" s="166"/>
      <c r="AK46" s="166"/>
      <c r="AL46" s="166"/>
      <c r="AM46" s="166"/>
      <c r="AN46" s="166"/>
      <c r="AO46" s="166"/>
      <c r="AP46" s="166"/>
      <c r="AQ46" s="166"/>
      <c r="AR46" s="166"/>
      <c r="AS46" s="166"/>
      <c r="AT46" s="166"/>
      <c r="AU46" s="166"/>
      <c r="AV46" s="166"/>
      <c r="AW46" s="166"/>
      <c r="AX46" s="166"/>
      <c r="AY46" s="166"/>
      <c r="AZ46" s="167"/>
    </row>
    <row r="47" spans="2:52" ht="14.45" customHeight="1">
      <c r="N47" s="120"/>
      <c r="O47" s="120"/>
      <c r="P47" s="118"/>
      <c r="AD47" s="165"/>
      <c r="AE47" s="166"/>
      <c r="AF47" s="166"/>
      <c r="AG47" s="166"/>
      <c r="AH47" s="166"/>
      <c r="AI47" s="166"/>
      <c r="AJ47" s="166"/>
      <c r="AK47" s="166"/>
      <c r="AL47" s="166"/>
      <c r="AM47" s="166"/>
      <c r="AN47" s="166"/>
      <c r="AO47" s="166"/>
      <c r="AP47" s="166"/>
      <c r="AQ47" s="166"/>
      <c r="AR47" s="166"/>
      <c r="AS47" s="166"/>
      <c r="AT47" s="166"/>
      <c r="AU47" s="166"/>
      <c r="AV47" s="166"/>
      <c r="AW47" s="166"/>
      <c r="AX47" s="166"/>
      <c r="AY47" s="166"/>
      <c r="AZ47" s="167"/>
    </row>
    <row r="48" spans="2:52" ht="14.45" customHeight="1">
      <c r="N48" s="121">
        <f>(N33+N46)*2</f>
        <v>14.52</v>
      </c>
      <c r="O48" s="121"/>
      <c r="P48" s="121">
        <v>21</v>
      </c>
      <c r="AD48" s="165"/>
      <c r="AE48" s="166"/>
      <c r="AF48" s="166"/>
      <c r="AG48" s="166"/>
      <c r="AH48" s="166"/>
      <c r="AI48" s="166"/>
      <c r="AJ48" s="166"/>
      <c r="AK48" s="166"/>
      <c r="AL48" s="166"/>
      <c r="AM48" s="166"/>
      <c r="AN48" s="166"/>
      <c r="AO48" s="166"/>
      <c r="AP48" s="166"/>
      <c r="AQ48" s="166"/>
      <c r="AR48" s="166"/>
      <c r="AS48" s="166"/>
      <c r="AT48" s="166"/>
      <c r="AU48" s="166"/>
      <c r="AV48" s="166"/>
      <c r="AW48" s="166"/>
      <c r="AX48" s="166"/>
      <c r="AY48" s="166"/>
      <c r="AZ48" s="167"/>
    </row>
    <row r="49" spans="6:52" ht="14.45" hidden="1" customHeight="1">
      <c r="N49" s="118"/>
      <c r="O49" s="118"/>
      <c r="P49" s="118"/>
      <c r="AD49" s="165"/>
      <c r="AE49" s="166"/>
      <c r="AF49" s="166"/>
      <c r="AG49" s="166"/>
      <c r="AH49" s="166"/>
      <c r="AI49" s="166"/>
      <c r="AJ49" s="166"/>
      <c r="AK49" s="166"/>
      <c r="AL49" s="166"/>
      <c r="AM49" s="166"/>
      <c r="AN49" s="166"/>
      <c r="AO49" s="166"/>
      <c r="AP49" s="166"/>
      <c r="AQ49" s="166"/>
      <c r="AR49" s="166"/>
      <c r="AS49" s="166"/>
      <c r="AT49" s="166"/>
      <c r="AU49" s="166"/>
      <c r="AV49" s="166"/>
      <c r="AW49" s="166"/>
      <c r="AX49" s="166"/>
      <c r="AY49" s="166"/>
      <c r="AZ49" s="167"/>
    </row>
    <row r="50" spans="6:52" ht="14.45" hidden="1" customHeight="1">
      <c r="N50" s="121">
        <f>N9+N20+N25+N33+N46</f>
        <v>14.64</v>
      </c>
      <c r="O50" s="122"/>
      <c r="P50" s="121">
        <v>21</v>
      </c>
      <c r="AD50" s="165"/>
      <c r="AE50" s="166"/>
      <c r="AF50" s="166"/>
      <c r="AG50" s="166"/>
      <c r="AH50" s="166"/>
      <c r="AI50" s="166"/>
      <c r="AJ50" s="166"/>
      <c r="AK50" s="166"/>
      <c r="AL50" s="166"/>
      <c r="AM50" s="166"/>
      <c r="AN50" s="166"/>
      <c r="AO50" s="166"/>
      <c r="AP50" s="166"/>
      <c r="AQ50" s="166"/>
      <c r="AR50" s="166"/>
      <c r="AS50" s="166"/>
      <c r="AT50" s="166"/>
      <c r="AU50" s="166"/>
      <c r="AV50" s="166"/>
      <c r="AW50" s="166"/>
      <c r="AX50" s="166"/>
      <c r="AY50" s="166"/>
      <c r="AZ50" s="167"/>
    </row>
    <row r="51" spans="6:52" ht="14.45" hidden="1" customHeight="1">
      <c r="F51" s="154" t="s">
        <v>400</v>
      </c>
      <c r="H51" s="112" t="s">
        <v>87</v>
      </c>
      <c r="J51" s="1" t="str">
        <f>'PRELIMINARY INTRINSIC FINANCIAL'!A3</f>
        <v>Operating Environment</v>
      </c>
      <c r="K51" s="67" t="str">
        <f>'PRELIMINARY INTRINSIC FINANCIAL'!B3</f>
        <v>[+0 to -3 notches]</v>
      </c>
      <c r="L51" s="103">
        <f>'PRELIMINARY INTRINSIC FINANCIAL'!C4</f>
        <v>0</v>
      </c>
      <c r="N51" s="120">
        <f>N50+L51</f>
        <v>14.64</v>
      </c>
      <c r="O51" s="118"/>
      <c r="P51" s="118"/>
      <c r="AD51" s="165"/>
      <c r="AE51" s="166"/>
      <c r="AF51" s="166"/>
      <c r="AG51" s="166"/>
      <c r="AH51" s="166"/>
      <c r="AI51" s="166"/>
      <c r="AJ51" s="166"/>
      <c r="AK51" s="166"/>
      <c r="AL51" s="166"/>
      <c r="AM51" s="166"/>
      <c r="AN51" s="166"/>
      <c r="AO51" s="166"/>
      <c r="AP51" s="166"/>
      <c r="AQ51" s="166"/>
      <c r="AR51" s="166"/>
      <c r="AS51" s="166"/>
      <c r="AT51" s="166"/>
      <c r="AU51" s="166"/>
      <c r="AV51" s="166"/>
      <c r="AW51" s="166"/>
      <c r="AX51" s="166"/>
      <c r="AY51" s="166"/>
      <c r="AZ51" s="167"/>
    </row>
    <row r="52" spans="6:52" ht="14.45" hidden="1" customHeight="1">
      <c r="F52" s="155"/>
      <c r="H52" s="111"/>
      <c r="N52" s="120"/>
      <c r="O52" s="118"/>
      <c r="P52" s="118"/>
      <c r="AD52" s="165"/>
      <c r="AE52" s="166"/>
      <c r="AF52" s="166"/>
      <c r="AG52" s="166"/>
      <c r="AH52" s="166"/>
      <c r="AI52" s="166"/>
      <c r="AJ52" s="166"/>
      <c r="AK52" s="166"/>
      <c r="AL52" s="166"/>
      <c r="AM52" s="166"/>
      <c r="AN52" s="166"/>
      <c r="AO52" s="166"/>
      <c r="AP52" s="166"/>
      <c r="AQ52" s="166"/>
      <c r="AR52" s="166"/>
      <c r="AS52" s="166"/>
      <c r="AT52" s="166"/>
      <c r="AU52" s="166"/>
      <c r="AV52" s="166"/>
      <c r="AW52" s="166"/>
      <c r="AX52" s="166"/>
      <c r="AY52" s="166"/>
      <c r="AZ52" s="167"/>
    </row>
    <row r="53" spans="6:52" ht="14.45" hidden="1" customHeight="1">
      <c r="F53" s="155"/>
      <c r="H53" s="156" t="s">
        <v>401</v>
      </c>
      <c r="J53" s="1" t="str">
        <f>'PRELIMINARY INTRINSIC FINANCIAL'!A6</f>
        <v>Quality of Management</v>
      </c>
      <c r="K53" s="67" t="str">
        <f>'PRELIMINARY INTRINSIC FINANCIAL'!B6</f>
        <v>[+1 to -2 notches]</v>
      </c>
      <c r="L53" s="2"/>
      <c r="N53" s="120"/>
      <c r="O53" s="118"/>
      <c r="P53" s="118"/>
      <c r="AD53" s="165"/>
      <c r="AE53" s="166"/>
      <c r="AF53" s="166"/>
      <c r="AG53" s="166"/>
      <c r="AH53" s="166"/>
      <c r="AI53" s="166"/>
      <c r="AJ53" s="166"/>
      <c r="AK53" s="166"/>
      <c r="AL53" s="166"/>
      <c r="AM53" s="166"/>
      <c r="AN53" s="166"/>
      <c r="AO53" s="166"/>
      <c r="AP53" s="166"/>
      <c r="AQ53" s="166"/>
      <c r="AR53" s="166"/>
      <c r="AS53" s="166"/>
      <c r="AT53" s="166"/>
      <c r="AU53" s="166"/>
      <c r="AV53" s="166"/>
      <c r="AW53" s="166"/>
      <c r="AX53" s="166"/>
      <c r="AY53" s="166"/>
      <c r="AZ53" s="167"/>
    </row>
    <row r="54" spans="6:52" ht="14.45" hidden="1" customHeight="1">
      <c r="F54" s="155"/>
      <c r="H54" s="157"/>
      <c r="J54" t="str">
        <f>'PRELIMINARY INTRINSIC FINANCIAL'!A7</f>
        <v>Superior Quality of Management</v>
      </c>
      <c r="K54" t="str">
        <f>'PRELIMINARY INTRINSIC FINANCIAL'!B7</f>
        <v>[+0 to +1 notch]</v>
      </c>
      <c r="L54" s="103">
        <f>'PRELIMINARY INTRINSIC FINANCIAL'!C7</f>
        <v>0</v>
      </c>
      <c r="N54" s="120">
        <f>N51+L54</f>
        <v>14.64</v>
      </c>
      <c r="O54" s="118"/>
      <c r="P54" s="118"/>
      <c r="AD54" s="165"/>
      <c r="AE54" s="166"/>
      <c r="AF54" s="166"/>
      <c r="AG54" s="166"/>
      <c r="AH54" s="166"/>
      <c r="AI54" s="166"/>
      <c r="AJ54" s="166"/>
      <c r="AK54" s="166"/>
      <c r="AL54" s="166"/>
      <c r="AM54" s="166"/>
      <c r="AN54" s="166"/>
      <c r="AO54" s="166"/>
      <c r="AP54" s="166"/>
      <c r="AQ54" s="166"/>
      <c r="AR54" s="166"/>
      <c r="AS54" s="166"/>
      <c r="AT54" s="166"/>
      <c r="AU54" s="166"/>
      <c r="AV54" s="166"/>
      <c r="AW54" s="166"/>
      <c r="AX54" s="166"/>
      <c r="AY54" s="166"/>
      <c r="AZ54" s="167"/>
    </row>
    <row r="55" spans="6:52" ht="14.45" hidden="1" customHeight="1">
      <c r="F55" s="155"/>
      <c r="H55" s="157"/>
      <c r="J55" t="str">
        <f>'PRELIMINARY INTRINSIC FINANCIAL'!A8</f>
        <v>Developing Management Quality</v>
      </c>
      <c r="K55" t="str">
        <f>'PRELIMINARY INTRINSIC FINANCIAL'!B8</f>
        <v>[+0 to -1 notch]</v>
      </c>
      <c r="L55" s="103">
        <f>'PRELIMINARY INTRINSIC FINANCIAL'!C8</f>
        <v>0</v>
      </c>
      <c r="N55" s="120">
        <f>N54+L55</f>
        <v>14.64</v>
      </c>
      <c r="O55" s="118"/>
      <c r="P55" s="118"/>
      <c r="AD55" s="165"/>
      <c r="AE55" s="166"/>
      <c r="AF55" s="166"/>
      <c r="AG55" s="166"/>
      <c r="AH55" s="166"/>
      <c r="AI55" s="166"/>
      <c r="AJ55" s="166"/>
      <c r="AK55" s="166"/>
      <c r="AL55" s="166"/>
      <c r="AM55" s="166"/>
      <c r="AN55" s="166"/>
      <c r="AO55" s="166"/>
      <c r="AP55" s="166"/>
      <c r="AQ55" s="166"/>
      <c r="AR55" s="166"/>
      <c r="AS55" s="166"/>
      <c r="AT55" s="166"/>
      <c r="AU55" s="166"/>
      <c r="AV55" s="166"/>
      <c r="AW55" s="166"/>
      <c r="AX55" s="166"/>
      <c r="AY55" s="166"/>
      <c r="AZ55" s="167"/>
    </row>
    <row r="56" spans="6:52" ht="14.45" hidden="1" customHeight="1">
      <c r="F56" s="155"/>
      <c r="H56" s="157"/>
      <c r="J56" t="str">
        <f>'PRELIMINARY INTRINSIC FINANCIAL'!A9</f>
        <v>Weaker Quality of Management</v>
      </c>
      <c r="K56" t="str">
        <f>'PRELIMINARY INTRINSIC FINANCIAL'!B9</f>
        <v>[+0 to -2 notches]</v>
      </c>
      <c r="L56" s="103">
        <f>'PRELIMINARY INTRINSIC FINANCIAL'!C9</f>
        <v>0</v>
      </c>
      <c r="N56" s="120">
        <f>N55+L56</f>
        <v>14.64</v>
      </c>
      <c r="O56" s="118"/>
      <c r="P56" s="120">
        <v>21</v>
      </c>
      <c r="AD56" s="165"/>
      <c r="AE56" s="166"/>
      <c r="AF56" s="166"/>
      <c r="AG56" s="166"/>
      <c r="AH56" s="166"/>
      <c r="AI56" s="166"/>
      <c r="AJ56" s="166"/>
      <c r="AK56" s="166"/>
      <c r="AL56" s="166"/>
      <c r="AM56" s="166"/>
      <c r="AN56" s="166"/>
      <c r="AO56" s="166"/>
      <c r="AP56" s="166"/>
      <c r="AQ56" s="166"/>
      <c r="AR56" s="166"/>
      <c r="AS56" s="166"/>
      <c r="AT56" s="166"/>
      <c r="AU56" s="166"/>
      <c r="AV56" s="166"/>
      <c r="AW56" s="166"/>
      <c r="AX56" s="166"/>
      <c r="AY56" s="166"/>
      <c r="AZ56" s="167"/>
    </row>
    <row r="57" spans="6:52" ht="14.45" hidden="1" customHeight="1">
      <c r="H57" s="111"/>
      <c r="N57" s="118"/>
      <c r="O57" s="118"/>
      <c r="P57" s="118"/>
      <c r="AD57" s="165"/>
      <c r="AE57" s="166"/>
      <c r="AF57" s="166"/>
      <c r="AG57" s="166"/>
      <c r="AH57" s="166"/>
      <c r="AI57" s="166"/>
      <c r="AJ57" s="166"/>
      <c r="AK57" s="166"/>
      <c r="AL57" s="166"/>
      <c r="AM57" s="166"/>
      <c r="AN57" s="166"/>
      <c r="AO57" s="166"/>
      <c r="AP57" s="166"/>
      <c r="AQ57" s="166"/>
      <c r="AR57" s="166"/>
      <c r="AS57" s="166"/>
      <c r="AT57" s="166"/>
      <c r="AU57" s="166"/>
      <c r="AV57" s="166"/>
      <c r="AW57" s="166"/>
      <c r="AX57" s="166"/>
      <c r="AY57" s="166"/>
      <c r="AZ57" s="167"/>
    </row>
    <row r="58" spans="6:52" ht="14.45" hidden="1" customHeight="1">
      <c r="H58" s="111"/>
      <c r="N58" s="118"/>
      <c r="O58" s="118"/>
      <c r="P58" s="118"/>
      <c r="AD58" s="165"/>
      <c r="AE58" s="166"/>
      <c r="AF58" s="166"/>
      <c r="AG58" s="166"/>
      <c r="AH58" s="166"/>
      <c r="AI58" s="166"/>
      <c r="AJ58" s="166"/>
      <c r="AK58" s="166"/>
      <c r="AL58" s="166"/>
      <c r="AM58" s="166"/>
      <c r="AN58" s="166"/>
      <c r="AO58" s="166"/>
      <c r="AP58" s="166"/>
      <c r="AQ58" s="166"/>
      <c r="AR58" s="166"/>
      <c r="AS58" s="166"/>
      <c r="AT58" s="166"/>
      <c r="AU58" s="166"/>
      <c r="AV58" s="166"/>
      <c r="AW58" s="166"/>
      <c r="AX58" s="166"/>
      <c r="AY58" s="166"/>
      <c r="AZ58" s="167"/>
    </row>
    <row r="59" spans="6:52" ht="14.45" hidden="1" customHeight="1">
      <c r="F59" s="154" t="s">
        <v>386</v>
      </c>
      <c r="H59" s="157" t="s">
        <v>403</v>
      </c>
      <c r="J59" s="1" t="str">
        <f>'MEMBER SUPPORT'!A3</f>
        <v>ABILITY TO SUPPORT</v>
      </c>
      <c r="K59" s="39"/>
      <c r="L59" s="2" t="str">
        <f>'MEMBER SUPPORT'!C3</f>
        <v>RATE</v>
      </c>
      <c r="N59" s="118"/>
      <c r="O59" s="118"/>
      <c r="P59" s="118"/>
      <c r="AD59" s="165"/>
      <c r="AE59" s="166"/>
      <c r="AF59" s="166"/>
      <c r="AG59" s="166"/>
      <c r="AH59" s="166"/>
      <c r="AI59" s="166"/>
      <c r="AJ59" s="166"/>
      <c r="AK59" s="166"/>
      <c r="AL59" s="166"/>
      <c r="AM59" s="166"/>
      <c r="AN59" s="166"/>
      <c r="AO59" s="166"/>
      <c r="AP59" s="166"/>
      <c r="AQ59" s="166"/>
      <c r="AR59" s="166"/>
      <c r="AS59" s="166"/>
      <c r="AT59" s="166"/>
      <c r="AU59" s="166"/>
      <c r="AV59" s="166"/>
      <c r="AW59" s="166"/>
      <c r="AX59" s="166"/>
      <c r="AY59" s="166"/>
      <c r="AZ59" s="167"/>
    </row>
    <row r="60" spans="6:52" ht="14.45" hidden="1" customHeight="1">
      <c r="F60" s="154"/>
      <c r="H60" s="157"/>
      <c r="J60" s="40" t="str">
        <f>'MEMBER SUPPORT'!A4</f>
        <v>Ability to extend financial assistance</v>
      </c>
      <c r="K60" s="40"/>
      <c r="L60" s="50" t="str">
        <f>'MEMBER SUPPORT'!C4</f>
        <v>Ba</v>
      </c>
      <c r="N60" s="120"/>
      <c r="O60" s="118"/>
      <c r="P60" s="118"/>
      <c r="AD60" s="165"/>
      <c r="AE60" s="166"/>
      <c r="AF60" s="166"/>
      <c r="AG60" s="166"/>
      <c r="AH60" s="166"/>
      <c r="AI60" s="166"/>
      <c r="AJ60" s="166"/>
      <c r="AK60" s="166"/>
      <c r="AL60" s="166"/>
      <c r="AM60" s="166"/>
      <c r="AN60" s="166"/>
      <c r="AO60" s="166"/>
      <c r="AP60" s="166"/>
      <c r="AQ60" s="166"/>
      <c r="AR60" s="166"/>
      <c r="AS60" s="166"/>
      <c r="AT60" s="166"/>
      <c r="AU60" s="166"/>
      <c r="AV60" s="166"/>
      <c r="AW60" s="166"/>
      <c r="AX60" s="166"/>
      <c r="AY60" s="166"/>
      <c r="AZ60" s="167"/>
    </row>
    <row r="61" spans="6:52" ht="14.45" hidden="1" customHeight="1">
      <c r="F61" s="154"/>
      <c r="H61" s="157"/>
      <c r="J61" s="31" t="str">
        <f>'MEMBER SUPPORT'!A5</f>
        <v>Weighted Average Shareholder Rating</v>
      </c>
      <c r="K61" s="31"/>
      <c r="L61" s="44"/>
      <c r="N61" s="118"/>
      <c r="O61" s="118"/>
      <c r="P61" s="118"/>
      <c r="AD61" s="165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166"/>
      <c r="AT61" s="166"/>
      <c r="AU61" s="166"/>
      <c r="AV61" s="166"/>
      <c r="AW61" s="166"/>
      <c r="AX61" s="166"/>
      <c r="AY61" s="166"/>
      <c r="AZ61" s="167"/>
    </row>
    <row r="62" spans="6:52" ht="14.45" hidden="1" customHeight="1">
      <c r="F62" s="154"/>
      <c r="H62" s="111"/>
      <c r="N62" s="118"/>
      <c r="O62" s="118"/>
      <c r="P62" s="118"/>
      <c r="AD62" s="165"/>
      <c r="AE62" s="166"/>
      <c r="AF62" s="166"/>
      <c r="AG62" s="166"/>
      <c r="AH62" s="166"/>
      <c r="AI62" s="166"/>
      <c r="AJ62" s="166"/>
      <c r="AK62" s="166"/>
      <c r="AL62" s="166"/>
      <c r="AM62" s="166"/>
      <c r="AN62" s="166"/>
      <c r="AO62" s="166"/>
      <c r="AP62" s="166"/>
      <c r="AQ62" s="166"/>
      <c r="AR62" s="166"/>
      <c r="AS62" s="166"/>
      <c r="AT62" s="166"/>
      <c r="AU62" s="166"/>
      <c r="AV62" s="166"/>
      <c r="AW62" s="166"/>
      <c r="AX62" s="166"/>
      <c r="AY62" s="166"/>
      <c r="AZ62" s="167"/>
    </row>
    <row r="63" spans="6:52" ht="14.45" hidden="1" customHeight="1">
      <c r="F63" s="154"/>
      <c r="H63" s="157" t="s">
        <v>50</v>
      </c>
      <c r="J63" s="1" t="str">
        <f>'MEMBER SUPPORT'!A7</f>
        <v>Willingness to Support</v>
      </c>
      <c r="K63" s="39"/>
      <c r="L63" s="2" t="str">
        <f>'MEMBER SUPPORT'!C7</f>
        <v>RATE</v>
      </c>
      <c r="N63" s="118"/>
      <c r="O63" s="118"/>
      <c r="P63" s="118"/>
      <c r="AD63" s="165"/>
      <c r="AE63" s="166"/>
      <c r="AF63" s="166"/>
      <c r="AG63" s="166"/>
      <c r="AH63" s="166"/>
      <c r="AI63" s="166"/>
      <c r="AJ63" s="166"/>
      <c r="AK63" s="166"/>
      <c r="AL63" s="166"/>
      <c r="AM63" s="166"/>
      <c r="AN63" s="166"/>
      <c r="AO63" s="166"/>
      <c r="AP63" s="166"/>
      <c r="AQ63" s="166"/>
      <c r="AR63" s="166"/>
      <c r="AS63" s="166"/>
      <c r="AT63" s="166"/>
      <c r="AU63" s="166"/>
      <c r="AV63" s="166"/>
      <c r="AW63" s="166"/>
      <c r="AX63" s="166"/>
      <c r="AY63" s="166"/>
      <c r="AZ63" s="167"/>
    </row>
    <row r="64" spans="6:52" ht="14.45" hidden="1" customHeight="1">
      <c r="F64" s="154"/>
      <c r="H64" s="157"/>
      <c r="J64" s="40" t="str">
        <f>'MEMBER SUPPORT'!A8</f>
        <v>Contractual Support</v>
      </c>
      <c r="K64" s="40"/>
      <c r="L64" s="50" t="str">
        <f>'MEMBER SUPPORT'!C8</f>
        <v>Ca</v>
      </c>
      <c r="N64" s="118"/>
      <c r="O64" s="118"/>
      <c r="P64" s="118"/>
      <c r="AD64" s="165"/>
      <c r="AE64" s="166"/>
      <c r="AF64" s="166"/>
      <c r="AG64" s="166"/>
      <c r="AH64" s="166"/>
      <c r="AI64" s="166"/>
      <c r="AJ64" s="166"/>
      <c r="AK64" s="166"/>
      <c r="AL64" s="166"/>
      <c r="AM64" s="166"/>
      <c r="AN64" s="166"/>
      <c r="AO64" s="166"/>
      <c r="AP64" s="166"/>
      <c r="AQ64" s="166"/>
      <c r="AR64" s="166"/>
      <c r="AS64" s="166"/>
      <c r="AT64" s="166"/>
      <c r="AU64" s="166"/>
      <c r="AV64" s="166"/>
      <c r="AW64" s="166"/>
      <c r="AX64" s="166"/>
      <c r="AY64" s="166"/>
      <c r="AZ64" s="167"/>
    </row>
    <row r="65" spans="6:52" ht="14.45" hidden="1" customHeight="1">
      <c r="F65" s="154"/>
      <c r="H65" s="157"/>
      <c r="N65" s="118"/>
      <c r="O65" s="118"/>
      <c r="P65" s="118"/>
      <c r="AD65" s="165"/>
      <c r="AE65" s="166"/>
      <c r="AF65" s="166"/>
      <c r="AG65" s="166"/>
      <c r="AH65" s="166"/>
      <c r="AI65" s="166"/>
      <c r="AJ65" s="166"/>
      <c r="AK65" s="166"/>
      <c r="AL65" s="166"/>
      <c r="AM65" s="166"/>
      <c r="AN65" s="166"/>
      <c r="AO65" s="166"/>
      <c r="AP65" s="166"/>
      <c r="AQ65" s="166"/>
      <c r="AR65" s="166"/>
      <c r="AS65" s="166"/>
      <c r="AT65" s="166"/>
      <c r="AU65" s="166"/>
      <c r="AV65" s="166"/>
      <c r="AW65" s="166"/>
      <c r="AX65" s="166"/>
      <c r="AY65" s="166"/>
      <c r="AZ65" s="167"/>
    </row>
    <row r="66" spans="6:52" ht="14.45" hidden="1" customHeight="1">
      <c r="F66" s="154"/>
      <c r="H66" s="157"/>
      <c r="J66" t="str">
        <f>'MEMBER SUPPORT'!A13</f>
        <v>(i) Presence of strong enforcement mechanism</v>
      </c>
      <c r="K66" t="str">
        <f>'MEMBER SUPPORT'!B13</f>
        <v>[+2 to +0 notch]</v>
      </c>
      <c r="L66" s="103">
        <f>'MEMBER SUPPORT'!C13</f>
        <v>0</v>
      </c>
      <c r="N66" s="118"/>
      <c r="O66" s="118"/>
      <c r="P66" s="118"/>
      <c r="AD66" s="165"/>
      <c r="AE66" s="166"/>
      <c r="AF66" s="166"/>
      <c r="AG66" s="166"/>
      <c r="AH66" s="166"/>
      <c r="AI66" s="166"/>
      <c r="AJ66" s="166"/>
      <c r="AK66" s="166"/>
      <c r="AL66" s="166"/>
      <c r="AM66" s="166"/>
      <c r="AN66" s="166"/>
      <c r="AO66" s="166"/>
      <c r="AP66" s="166"/>
      <c r="AQ66" s="166"/>
      <c r="AR66" s="166"/>
      <c r="AS66" s="166"/>
      <c r="AT66" s="166"/>
      <c r="AU66" s="166"/>
      <c r="AV66" s="166"/>
      <c r="AW66" s="166"/>
      <c r="AX66" s="166"/>
      <c r="AY66" s="166"/>
      <c r="AZ66" s="167"/>
    </row>
    <row r="67" spans="6:52" ht="14.45" hidden="1" customHeight="1">
      <c r="F67" s="154"/>
      <c r="H67" s="157"/>
      <c r="J67" t="str">
        <f>'MEMBER SUPPORT'!A14</f>
        <v xml:space="preserve">(ii) Presence of payment enhancements (if those covers at least 30 % of the callable capital) </v>
      </c>
      <c r="K67" t="str">
        <f>'MEMBER SUPPORT'!B14</f>
        <v>[+1 to + 0 notch]</v>
      </c>
      <c r="L67" s="103">
        <f>'MEMBER SUPPORT'!C14</f>
        <v>0</v>
      </c>
      <c r="N67" s="120"/>
      <c r="O67" s="118"/>
      <c r="P67" s="118"/>
      <c r="AD67" s="165"/>
      <c r="AE67" s="166"/>
      <c r="AF67" s="166"/>
      <c r="AG67" s="166"/>
      <c r="AH67" s="166"/>
      <c r="AI67" s="166"/>
      <c r="AJ67" s="166"/>
      <c r="AK67" s="166"/>
      <c r="AL67" s="166"/>
      <c r="AM67" s="166"/>
      <c r="AN67" s="166"/>
      <c r="AO67" s="166"/>
      <c r="AP67" s="166"/>
      <c r="AQ67" s="166"/>
      <c r="AR67" s="166"/>
      <c r="AS67" s="166"/>
      <c r="AT67" s="166"/>
      <c r="AU67" s="166"/>
      <c r="AV67" s="166"/>
      <c r="AW67" s="166"/>
      <c r="AX67" s="166"/>
      <c r="AY67" s="166"/>
      <c r="AZ67" s="167"/>
    </row>
    <row r="68" spans="6:52" ht="14.45" hidden="1" customHeight="1">
      <c r="F68" s="154"/>
      <c r="H68" s="111"/>
      <c r="N68" s="118"/>
      <c r="O68" s="118"/>
      <c r="P68" s="118"/>
      <c r="AD68" s="165"/>
      <c r="AE68" s="166"/>
      <c r="AF68" s="166"/>
      <c r="AG68" s="166"/>
      <c r="AH68" s="166"/>
      <c r="AI68" s="166"/>
      <c r="AJ68" s="166"/>
      <c r="AK68" s="166"/>
      <c r="AL68" s="166"/>
      <c r="AM68" s="166"/>
      <c r="AN68" s="166"/>
      <c r="AO68" s="166"/>
      <c r="AP68" s="166"/>
      <c r="AQ68" s="166"/>
      <c r="AR68" s="166"/>
      <c r="AS68" s="166"/>
      <c r="AT68" s="166"/>
      <c r="AU68" s="166"/>
      <c r="AV68" s="166"/>
      <c r="AW68" s="166"/>
      <c r="AX68" s="166"/>
      <c r="AY68" s="166"/>
      <c r="AZ68" s="167"/>
    </row>
    <row r="69" spans="6:52" ht="14.45" hidden="1" customHeight="1">
      <c r="F69" s="154"/>
      <c r="H69" s="157" t="s">
        <v>402</v>
      </c>
      <c r="J69" s="1" t="str">
        <f>'MEMBER SUPPORT'!A16</f>
        <v>Non-Contractual Support</v>
      </c>
      <c r="K69" s="39"/>
      <c r="L69" s="2"/>
      <c r="N69" s="118"/>
      <c r="O69" s="118"/>
      <c r="P69" s="118"/>
      <c r="AD69" s="165"/>
      <c r="AE69" s="166"/>
      <c r="AF69" s="166"/>
      <c r="AG69" s="166"/>
      <c r="AH69" s="166"/>
      <c r="AI69" s="166"/>
      <c r="AJ69" s="166"/>
      <c r="AK69" s="166"/>
      <c r="AL69" s="166"/>
      <c r="AM69" s="166"/>
      <c r="AN69" s="166"/>
      <c r="AO69" s="166"/>
      <c r="AP69" s="166"/>
      <c r="AQ69" s="166"/>
      <c r="AR69" s="166"/>
      <c r="AS69" s="166"/>
      <c r="AT69" s="166"/>
      <c r="AU69" s="166"/>
      <c r="AV69" s="166"/>
      <c r="AW69" s="166"/>
      <c r="AX69" s="166"/>
      <c r="AY69" s="166"/>
      <c r="AZ69" s="167"/>
    </row>
    <row r="70" spans="6:52" ht="14.45" hidden="1" customHeight="1">
      <c r="F70" s="154"/>
      <c r="H70" s="157"/>
      <c r="J70" s="40" t="str">
        <f>'MEMBER SUPPORT'!A17</f>
        <v>Non-Contractual Support</v>
      </c>
      <c r="K70" s="40"/>
      <c r="L70" s="50" t="str">
        <f>'MEMBER SUPPORT'!C17</f>
        <v>High</v>
      </c>
      <c r="N70" s="120"/>
      <c r="O70" s="118"/>
      <c r="P70" s="118"/>
      <c r="AD70" s="165"/>
      <c r="AE70" s="166"/>
      <c r="AF70" s="166"/>
      <c r="AG70" s="166"/>
      <c r="AH70" s="166"/>
      <c r="AI70" s="166"/>
      <c r="AJ70" s="166"/>
      <c r="AK70" s="166"/>
      <c r="AL70" s="166"/>
      <c r="AM70" s="166"/>
      <c r="AN70" s="166"/>
      <c r="AO70" s="166"/>
      <c r="AP70" s="166"/>
      <c r="AQ70" s="166"/>
      <c r="AR70" s="166"/>
      <c r="AS70" s="166"/>
      <c r="AT70" s="166"/>
      <c r="AU70" s="166"/>
      <c r="AV70" s="166"/>
      <c r="AW70" s="166"/>
      <c r="AX70" s="166"/>
      <c r="AY70" s="166"/>
      <c r="AZ70" s="167"/>
    </row>
    <row r="71" spans="6:52" ht="14.45" hidden="1" customHeight="1">
      <c r="F71" s="154"/>
      <c r="H71" s="111"/>
      <c r="N71" s="118"/>
      <c r="O71" s="118"/>
      <c r="P71" s="118"/>
      <c r="AD71" s="165"/>
      <c r="AE71" s="166"/>
      <c r="AF71" s="166"/>
      <c r="AG71" s="166"/>
      <c r="AH71" s="166"/>
      <c r="AI71" s="166"/>
      <c r="AJ71" s="166"/>
      <c r="AK71" s="166"/>
      <c r="AL71" s="166"/>
      <c r="AM71" s="166"/>
      <c r="AN71" s="166"/>
      <c r="AO71" s="166"/>
      <c r="AP71" s="166"/>
      <c r="AQ71" s="166"/>
      <c r="AR71" s="166"/>
      <c r="AS71" s="166"/>
      <c r="AT71" s="166"/>
      <c r="AU71" s="166"/>
      <c r="AV71" s="166"/>
      <c r="AW71" s="166"/>
      <c r="AX71" s="166"/>
      <c r="AY71" s="166"/>
      <c r="AZ71" s="167"/>
    </row>
    <row r="72" spans="6:52" ht="18" hidden="1" customHeight="1">
      <c r="F72" s="154"/>
      <c r="H72" s="156" t="s">
        <v>404</v>
      </c>
      <c r="J72" s="104" t="str">
        <f>'MEMBER SUPPORT'!A30</f>
        <v>Overall Strength of Member support</v>
      </c>
      <c r="K72" s="105"/>
      <c r="L72" s="106"/>
      <c r="N72" s="118"/>
      <c r="O72" s="118"/>
      <c r="P72" s="118"/>
      <c r="AD72" s="165"/>
      <c r="AE72" s="166"/>
      <c r="AF72" s="166"/>
      <c r="AG72" s="166"/>
      <c r="AH72" s="166"/>
      <c r="AI72" s="166"/>
      <c r="AJ72" s="166"/>
      <c r="AK72" s="166"/>
      <c r="AL72" s="166"/>
      <c r="AM72" s="166"/>
      <c r="AN72" s="166"/>
      <c r="AO72" s="166"/>
      <c r="AP72" s="166"/>
      <c r="AQ72" s="166"/>
      <c r="AR72" s="166"/>
      <c r="AS72" s="166"/>
      <c r="AT72" s="166"/>
      <c r="AU72" s="166"/>
      <c r="AV72" s="166"/>
      <c r="AW72" s="166"/>
      <c r="AX72" s="166"/>
      <c r="AY72" s="166"/>
      <c r="AZ72" s="167"/>
    </row>
    <row r="73" spans="6:52" ht="18" hidden="1" customHeight="1">
      <c r="F73" s="154"/>
      <c r="H73" s="156"/>
      <c r="J73" s="107" t="str">
        <f>'MEMBER SUPPORT'!A31</f>
        <v>Ultimate Qualitative Assessment</v>
      </c>
      <c r="K73" s="107"/>
      <c r="L73" s="108" t="str">
        <f>'MEMBER SUPPORT'!C31</f>
        <v>Moderate</v>
      </c>
      <c r="N73" s="120"/>
      <c r="O73" s="118"/>
      <c r="P73" s="118"/>
      <c r="AD73" s="165"/>
      <c r="AE73" s="166"/>
      <c r="AF73" s="166"/>
      <c r="AG73" s="166"/>
      <c r="AH73" s="166"/>
      <c r="AI73" s="166"/>
      <c r="AJ73" s="166"/>
      <c r="AK73" s="166"/>
      <c r="AL73" s="166"/>
      <c r="AM73" s="166"/>
      <c r="AN73" s="166"/>
      <c r="AO73" s="166"/>
      <c r="AP73" s="166"/>
      <c r="AQ73" s="166"/>
      <c r="AR73" s="166"/>
      <c r="AS73" s="166"/>
      <c r="AT73" s="166"/>
      <c r="AU73" s="166"/>
      <c r="AV73" s="166"/>
      <c r="AW73" s="166"/>
      <c r="AX73" s="166"/>
      <c r="AY73" s="166"/>
      <c r="AZ73" s="167"/>
    </row>
    <row r="74" spans="6:52" ht="18.600000000000001" hidden="1" customHeight="1">
      <c r="F74" s="154"/>
      <c r="H74" s="156"/>
      <c r="J74" s="109"/>
      <c r="K74" s="109"/>
      <c r="L74" s="110">
        <f>'MEMBER SUPPORT'!C32</f>
        <v>1</v>
      </c>
      <c r="N74" s="121">
        <f>N56+L74</f>
        <v>15.64</v>
      </c>
      <c r="O74" s="122"/>
      <c r="P74" s="121">
        <v>21</v>
      </c>
      <c r="AD74" s="165"/>
      <c r="AE74" s="166"/>
      <c r="AF74" s="166"/>
      <c r="AG74" s="166"/>
      <c r="AH74" s="166"/>
      <c r="AI74" s="166"/>
      <c r="AJ74" s="166"/>
      <c r="AK74" s="166"/>
      <c r="AL74" s="166"/>
      <c r="AM74" s="166"/>
      <c r="AN74" s="166"/>
      <c r="AO74" s="166"/>
      <c r="AP74" s="166"/>
      <c r="AQ74" s="166"/>
      <c r="AR74" s="166"/>
      <c r="AS74" s="166"/>
      <c r="AT74" s="166"/>
      <c r="AU74" s="166"/>
      <c r="AV74" s="166"/>
      <c r="AW74" s="166"/>
      <c r="AX74" s="166"/>
      <c r="AY74" s="166"/>
      <c r="AZ74" s="167"/>
    </row>
    <row r="75" spans="6:52" ht="14.45" hidden="1" customHeight="1">
      <c r="AD75" s="165"/>
      <c r="AE75" s="166"/>
      <c r="AF75" s="166"/>
      <c r="AG75" s="166"/>
      <c r="AH75" s="166"/>
      <c r="AI75" s="166"/>
      <c r="AJ75" s="166"/>
      <c r="AK75" s="166"/>
      <c r="AL75" s="166"/>
      <c r="AM75" s="166"/>
      <c r="AN75" s="166"/>
      <c r="AO75" s="166"/>
      <c r="AP75" s="166"/>
      <c r="AQ75" s="166"/>
      <c r="AR75" s="166"/>
      <c r="AS75" s="166"/>
      <c r="AT75" s="166"/>
      <c r="AU75" s="166"/>
      <c r="AV75" s="166"/>
      <c r="AW75" s="166"/>
      <c r="AX75" s="166"/>
      <c r="AY75" s="166"/>
      <c r="AZ75" s="167"/>
    </row>
    <row r="76" spans="6:52" ht="14.45" customHeight="1">
      <c r="AD76" s="165"/>
      <c r="AE76" s="166"/>
      <c r="AF76" s="166"/>
      <c r="AG76" s="166"/>
      <c r="AH76" s="166"/>
      <c r="AI76" s="166"/>
      <c r="AJ76" s="166"/>
      <c r="AK76" s="166"/>
      <c r="AL76" s="166"/>
      <c r="AM76" s="166"/>
      <c r="AN76" s="166"/>
      <c r="AO76" s="166"/>
      <c r="AP76" s="166"/>
      <c r="AQ76" s="166"/>
      <c r="AR76" s="166"/>
      <c r="AS76" s="166"/>
      <c r="AT76" s="166"/>
      <c r="AU76" s="166"/>
      <c r="AV76" s="166"/>
      <c r="AW76" s="166"/>
      <c r="AX76" s="166"/>
      <c r="AY76" s="166"/>
      <c r="AZ76" s="167"/>
    </row>
    <row r="77" spans="6:52" ht="14.45" customHeight="1">
      <c r="AD77" s="168"/>
      <c r="AE77" s="169"/>
      <c r="AF77" s="169"/>
      <c r="AG77" s="169"/>
      <c r="AH77" s="169"/>
      <c r="AI77" s="169"/>
      <c r="AJ77" s="169"/>
      <c r="AK77" s="169"/>
      <c r="AL77" s="169"/>
      <c r="AM77" s="169"/>
      <c r="AN77" s="169"/>
      <c r="AO77" s="169"/>
      <c r="AP77" s="169"/>
      <c r="AQ77" s="169"/>
      <c r="AR77" s="169"/>
      <c r="AS77" s="169"/>
      <c r="AT77" s="169"/>
      <c r="AU77" s="169"/>
      <c r="AV77" s="169"/>
      <c r="AW77" s="169"/>
      <c r="AX77" s="169"/>
      <c r="AY77" s="169"/>
      <c r="AZ77" s="170"/>
    </row>
    <row r="78" spans="6:52" ht="14.45" customHeight="1"/>
    <row r="79" spans="6:52" ht="14.45" customHeight="1"/>
    <row r="80" spans="6:52" ht="14.45" customHeight="1"/>
    <row r="81" spans="2:24" ht="14.45" customHeight="1"/>
    <row r="82" spans="2:24" ht="14.45" customHeight="1"/>
    <row r="83" spans="2:24" ht="14.45" customHeight="1">
      <c r="B83" s="160" t="s">
        <v>416</v>
      </c>
      <c r="C83" s="160"/>
      <c r="D83" s="160"/>
      <c r="E83" s="160"/>
      <c r="F83" s="160"/>
      <c r="G83" s="160"/>
      <c r="H83" s="160"/>
      <c r="I83" s="160"/>
      <c r="J83" s="160"/>
      <c r="K83" s="160"/>
      <c r="L83" s="160"/>
      <c r="M83" s="160"/>
      <c r="N83" s="160"/>
      <c r="O83" s="160"/>
      <c r="P83" s="160"/>
      <c r="Q83" s="160"/>
      <c r="R83" s="160"/>
      <c r="S83" s="160"/>
      <c r="T83" s="160"/>
      <c r="U83" s="160"/>
      <c r="V83" s="160"/>
      <c r="W83" s="160"/>
      <c r="X83" s="160"/>
    </row>
    <row r="84" spans="2:24" ht="14.45" customHeight="1">
      <c r="B84" s="160"/>
      <c r="C84" s="160"/>
      <c r="D84" s="160"/>
      <c r="E84" s="160"/>
      <c r="F84" s="160"/>
      <c r="G84" s="160"/>
      <c r="H84" s="160"/>
      <c r="I84" s="160"/>
      <c r="J84" s="160"/>
      <c r="K84" s="160"/>
      <c r="L84" s="160"/>
      <c r="M84" s="160"/>
      <c r="N84" s="160"/>
      <c r="O84" s="160"/>
      <c r="P84" s="160"/>
      <c r="Q84" s="160"/>
      <c r="R84" s="160"/>
      <c r="S84" s="160"/>
      <c r="T84" s="160"/>
      <c r="U84" s="160"/>
      <c r="V84" s="160"/>
      <c r="W84" s="160"/>
      <c r="X84" s="160"/>
    </row>
    <row r="85" spans="2:24" ht="14.45" customHeight="1">
      <c r="B85" s="160"/>
      <c r="C85" s="160"/>
      <c r="D85" s="160"/>
      <c r="E85" s="160"/>
      <c r="F85" s="160"/>
      <c r="G85" s="160"/>
      <c r="H85" s="160"/>
      <c r="I85" s="160"/>
      <c r="J85" s="160"/>
      <c r="K85" s="160"/>
      <c r="L85" s="160"/>
      <c r="M85" s="160"/>
      <c r="N85" s="160"/>
      <c r="O85" s="160"/>
      <c r="P85" s="160"/>
      <c r="Q85" s="160"/>
      <c r="R85" s="160"/>
      <c r="S85" s="160"/>
      <c r="T85" s="160"/>
      <c r="U85" s="160"/>
      <c r="V85" s="160"/>
      <c r="W85" s="160"/>
      <c r="X85" s="160"/>
    </row>
    <row r="86" spans="2:24" ht="28.5" customHeight="1">
      <c r="B86" s="161">
        <f>L74</f>
        <v>1</v>
      </c>
      <c r="C86" s="161"/>
      <c r="D86" s="161"/>
      <c r="E86" s="161"/>
      <c r="F86" s="161"/>
      <c r="G86" s="161"/>
      <c r="H86" s="161"/>
      <c r="I86" s="161"/>
      <c r="J86" s="161"/>
      <c r="K86" s="161"/>
      <c r="L86" s="161"/>
      <c r="M86" s="161"/>
      <c r="N86" s="161"/>
      <c r="O86" s="161"/>
      <c r="P86" s="161"/>
      <c r="Q86" s="161"/>
      <c r="R86" s="161"/>
      <c r="S86" s="161"/>
      <c r="T86" s="161"/>
      <c r="U86" s="161"/>
      <c r="V86" s="161"/>
      <c r="W86" s="161"/>
      <c r="X86" s="161"/>
    </row>
    <row r="87" spans="2:24" ht="14.45" customHeight="1">
      <c r="B87" s="161"/>
      <c r="C87" s="161"/>
      <c r="D87" s="161"/>
      <c r="E87" s="161"/>
      <c r="F87" s="161"/>
      <c r="G87" s="161"/>
      <c r="H87" s="161"/>
      <c r="I87" s="161"/>
      <c r="J87" s="161"/>
      <c r="K87" s="161"/>
      <c r="L87" s="161"/>
      <c r="M87" s="161"/>
      <c r="N87" s="161"/>
      <c r="O87" s="161"/>
      <c r="P87" s="161"/>
      <c r="Q87" s="161"/>
      <c r="R87" s="161"/>
      <c r="S87" s="161"/>
      <c r="T87" s="161"/>
      <c r="U87" s="161"/>
      <c r="V87" s="161"/>
      <c r="W87" s="161"/>
      <c r="X87" s="161"/>
    </row>
    <row r="88" spans="2:24" ht="14.45" customHeight="1">
      <c r="B88" s="161"/>
      <c r="C88" s="161"/>
      <c r="D88" s="161"/>
      <c r="E88" s="161"/>
      <c r="F88" s="161"/>
      <c r="G88" s="161"/>
      <c r="H88" s="161"/>
      <c r="I88" s="161"/>
      <c r="J88" s="161"/>
      <c r="K88" s="161"/>
      <c r="L88" s="161"/>
      <c r="M88" s="161"/>
      <c r="N88" s="161"/>
      <c r="O88" s="161"/>
      <c r="P88" s="161"/>
      <c r="Q88" s="161"/>
      <c r="R88" s="161"/>
      <c r="S88" s="161"/>
      <c r="T88" s="161"/>
      <c r="U88" s="161"/>
      <c r="V88" s="161"/>
      <c r="W88" s="161"/>
      <c r="X88" s="161"/>
    </row>
    <row r="89" spans="2:24" ht="14.45" customHeight="1">
      <c r="B89" s="161"/>
      <c r="C89" s="161"/>
      <c r="D89" s="161"/>
      <c r="E89" s="161"/>
      <c r="F89" s="161"/>
      <c r="G89" s="161"/>
      <c r="H89" s="161"/>
      <c r="I89" s="161"/>
      <c r="J89" s="161"/>
      <c r="K89" s="161"/>
      <c r="L89" s="161"/>
      <c r="M89" s="161"/>
      <c r="N89" s="161"/>
      <c r="O89" s="161"/>
      <c r="P89" s="161"/>
      <c r="Q89" s="161"/>
      <c r="R89" s="161"/>
      <c r="S89" s="161"/>
      <c r="T89" s="161"/>
      <c r="U89" s="161"/>
      <c r="V89" s="161"/>
      <c r="W89" s="161"/>
      <c r="X89" s="161"/>
    </row>
    <row r="90" spans="2:24" ht="14.45" customHeight="1"/>
    <row r="91" spans="2:24">
      <c r="B91" s="160" t="s">
        <v>411</v>
      </c>
      <c r="C91" s="160"/>
      <c r="D91" s="160"/>
      <c r="E91" s="160"/>
      <c r="F91" s="160"/>
      <c r="G91" s="160"/>
      <c r="H91" s="160"/>
      <c r="I91" s="160"/>
      <c r="J91" s="160"/>
      <c r="K91" s="160"/>
      <c r="L91" s="160"/>
      <c r="M91" s="160"/>
      <c r="N91" s="160"/>
      <c r="O91" s="160"/>
      <c r="P91" s="160"/>
      <c r="Q91" s="160"/>
      <c r="R91" s="160"/>
      <c r="S91" s="160"/>
      <c r="T91" s="160"/>
      <c r="U91" s="160"/>
      <c r="V91" s="160"/>
      <c r="W91" s="160"/>
      <c r="X91" s="160"/>
    </row>
    <row r="92" spans="2:24">
      <c r="B92" s="160"/>
      <c r="C92" s="160"/>
      <c r="D92" s="160"/>
      <c r="E92" s="160"/>
      <c r="F92" s="160"/>
      <c r="G92" s="160"/>
      <c r="H92" s="160"/>
      <c r="I92" s="160"/>
      <c r="J92" s="160"/>
      <c r="K92" s="160"/>
      <c r="L92" s="160"/>
      <c r="M92" s="160"/>
      <c r="N92" s="160"/>
      <c r="O92" s="160"/>
      <c r="P92" s="160"/>
      <c r="Q92" s="160"/>
      <c r="R92" s="160"/>
      <c r="S92" s="160"/>
      <c r="T92" s="160"/>
      <c r="U92" s="160"/>
      <c r="V92" s="160"/>
      <c r="W92" s="160"/>
      <c r="X92" s="160"/>
    </row>
    <row r="93" spans="2:24">
      <c r="B93" s="160"/>
      <c r="C93" s="160"/>
      <c r="D93" s="160"/>
      <c r="E93" s="160"/>
      <c r="F93" s="160"/>
      <c r="G93" s="160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  <c r="V93" s="160"/>
      <c r="W93" s="160"/>
      <c r="X93" s="160"/>
    </row>
    <row r="94" spans="2:24">
      <c r="B94" s="158">
        <f>N74/P74</f>
        <v>0.74476190476190474</v>
      </c>
      <c r="C94" s="158"/>
      <c r="D94" s="158"/>
      <c r="E94" s="158"/>
      <c r="F94" s="158"/>
      <c r="G94" s="158"/>
      <c r="H94" s="158"/>
      <c r="I94" s="158"/>
      <c r="J94" s="158"/>
      <c r="K94" s="158"/>
      <c r="L94" s="158"/>
      <c r="M94" s="158"/>
      <c r="N94" s="158"/>
      <c r="O94" s="158"/>
      <c r="P94" s="158"/>
      <c r="Q94" s="158"/>
      <c r="R94" s="158"/>
      <c r="S94" s="158"/>
      <c r="T94" s="158"/>
      <c r="U94" s="158"/>
      <c r="V94" s="158"/>
      <c r="W94" s="158"/>
      <c r="X94" s="158"/>
    </row>
    <row r="95" spans="2:24">
      <c r="B95" s="158"/>
      <c r="C95" s="158"/>
      <c r="D95" s="158"/>
      <c r="E95" s="158"/>
      <c r="F95" s="158"/>
      <c r="G95" s="158"/>
      <c r="H95" s="158"/>
      <c r="I95" s="158"/>
      <c r="J95" s="158"/>
      <c r="K95" s="158"/>
      <c r="L95" s="158"/>
      <c r="M95" s="158"/>
      <c r="N95" s="158"/>
      <c r="O95" s="158"/>
      <c r="P95" s="158"/>
      <c r="Q95" s="158"/>
      <c r="R95" s="158"/>
      <c r="S95" s="158"/>
      <c r="T95" s="158"/>
      <c r="U95" s="158"/>
      <c r="V95" s="158"/>
      <c r="W95" s="158"/>
      <c r="X95" s="158"/>
    </row>
    <row r="96" spans="2:24">
      <c r="B96" s="158"/>
      <c r="C96" s="158"/>
      <c r="D96" s="158"/>
      <c r="E96" s="158"/>
      <c r="F96" s="158"/>
      <c r="G96" s="158"/>
      <c r="H96" s="158"/>
      <c r="I96" s="158"/>
      <c r="J96" s="158"/>
      <c r="K96" s="158"/>
      <c r="L96" s="158"/>
      <c r="M96" s="158"/>
      <c r="N96" s="158"/>
      <c r="O96" s="158"/>
      <c r="P96" s="158"/>
      <c r="Q96" s="158"/>
      <c r="R96" s="158"/>
      <c r="S96" s="158"/>
      <c r="T96" s="158"/>
      <c r="U96" s="158"/>
      <c r="V96" s="158"/>
      <c r="W96" s="158"/>
      <c r="X96" s="158"/>
    </row>
  </sheetData>
  <mergeCells count="33">
    <mergeCell ref="B94:X96"/>
    <mergeCell ref="AD30:AZ32"/>
    <mergeCell ref="B83:X85"/>
    <mergeCell ref="B86:X89"/>
    <mergeCell ref="AD33:AZ77"/>
    <mergeCell ref="V5:V45"/>
    <mergeCell ref="B5:B45"/>
    <mergeCell ref="X5:X45"/>
    <mergeCell ref="B91:X93"/>
    <mergeCell ref="T5:T25"/>
    <mergeCell ref="R29:R33"/>
    <mergeCell ref="R35:R45"/>
    <mergeCell ref="T29:T45"/>
    <mergeCell ref="D5:D45"/>
    <mergeCell ref="F59:F74"/>
    <mergeCell ref="H10:H20"/>
    <mergeCell ref="F51:F56"/>
    <mergeCell ref="H53:H56"/>
    <mergeCell ref="H63:H67"/>
    <mergeCell ref="H69:H70"/>
    <mergeCell ref="H72:H74"/>
    <mergeCell ref="H59:H61"/>
    <mergeCell ref="T2:X3"/>
    <mergeCell ref="B2:F3"/>
    <mergeCell ref="F29:F45"/>
    <mergeCell ref="H29:H33"/>
    <mergeCell ref="H22:H25"/>
    <mergeCell ref="H35:H45"/>
    <mergeCell ref="H5:H8"/>
    <mergeCell ref="F5:F25"/>
    <mergeCell ref="R5:R8"/>
    <mergeCell ref="R10:R20"/>
    <mergeCell ref="R22:R25"/>
  </mergeCells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2CE4-1119-474B-AEF8-566D4AC493D7}">
  <sheetPr>
    <tabColor theme="4" tint="0.39997558519241921"/>
  </sheetPr>
  <dimension ref="A1:BW72"/>
  <sheetViews>
    <sheetView showGridLines="0" zoomScale="60" zoomScaleNormal="60" workbookViewId="0"/>
  </sheetViews>
  <sheetFormatPr baseColWidth="10" defaultColWidth="11.5" defaultRowHeight="14.25" outlineLevelCol="1"/>
  <cols>
    <col min="1" max="1" width="72.125" style="3" bestFit="1" customWidth="1"/>
    <col min="2" max="2" width="18.875" style="3" bestFit="1" customWidth="1"/>
    <col min="3" max="3" width="26.5" style="3" bestFit="1" customWidth="1"/>
    <col min="4" max="4" width="14.625" style="3" bestFit="1" customWidth="1"/>
    <col min="5" max="5" width="11.5" style="3"/>
    <col min="6" max="6" width="13.25" style="3" customWidth="1" outlineLevel="1"/>
    <col min="7" max="7" width="20.5" style="3" customWidth="1" outlineLevel="1"/>
    <col min="8" max="8" width="12.75" style="3" customWidth="1" outlineLevel="1"/>
    <col min="9" max="9" width="25.5" style="3" customWidth="1" outlineLevel="1"/>
    <col min="10" max="10" width="21.875" style="34" customWidth="1" outlineLevel="1"/>
    <col min="11" max="11" width="11.5" style="3" customWidth="1" outlineLevel="1"/>
    <col min="12" max="12" width="19" style="3" customWidth="1" outlineLevel="1"/>
    <col min="13" max="13" width="11.5" style="3" customWidth="1" outlineLevel="1"/>
    <col min="14" max="14" width="20.5" style="3" customWidth="1" outlineLevel="1"/>
    <col min="15" max="15" width="15.875" style="3" customWidth="1" outlineLevel="1"/>
    <col min="16" max="16" width="12" style="3" customWidth="1" outlineLevel="1"/>
    <col min="17" max="17" width="11.5" style="3"/>
    <col min="18" max="18" width="21.5" style="3" customWidth="1" outlineLevel="1"/>
    <col min="19" max="19" width="12.125" style="3" customWidth="1" outlineLevel="1"/>
    <col min="20" max="20" width="14.5" style="3" customWidth="1" outlineLevel="1"/>
    <col min="21" max="21" width="11.5" style="3"/>
    <col min="22" max="22" width="27.125" style="3" hidden="1" customWidth="1" outlineLevel="1"/>
    <col min="23" max="23" width="33.25" style="3" hidden="1" customWidth="1" outlineLevel="1"/>
    <col min="24" max="24" width="11.5" style="3" hidden="1" customWidth="1" outlineLevel="1"/>
    <col min="25" max="25" width="11.5" style="3" collapsed="1"/>
    <col min="26" max="26" width="30.5" style="3" customWidth="1" outlineLevel="1"/>
    <col min="27" max="27" width="35.125" style="3" customWidth="1" outlineLevel="1"/>
    <col min="28" max="28" width="11.5" style="3" customWidth="1" outlineLevel="1"/>
    <col min="29" max="29" width="11.5" style="3"/>
    <col min="30" max="30" width="23.75" style="3" hidden="1" customWidth="1" outlineLevel="1"/>
    <col min="31" max="32" width="11.5" style="3" hidden="1" customWidth="1" outlineLevel="1"/>
    <col min="33" max="33" width="11.5" style="3" collapsed="1"/>
    <col min="34" max="34" width="26.75" style="3" hidden="1" customWidth="1" outlineLevel="1"/>
    <col min="35" max="36" width="11.5" style="3" hidden="1" customWidth="1" outlineLevel="1"/>
    <col min="37" max="37" width="11.5" style="3" collapsed="1"/>
    <col min="38" max="40" width="11.5" style="3" hidden="1" customWidth="1" outlineLevel="1"/>
    <col min="41" max="41" width="11.5" style="3" collapsed="1"/>
    <col min="42" max="42" width="13.875" style="3" hidden="1" customWidth="1" outlineLevel="1"/>
    <col min="43" max="44" width="0" style="3" hidden="1" customWidth="1" outlineLevel="1"/>
    <col min="45" max="45" width="11.5" style="3" collapsed="1"/>
    <col min="46" max="46" width="20.125" style="3" hidden="1" customWidth="1" outlineLevel="1"/>
    <col min="47" max="48" width="11.5" style="3" hidden="1" customWidth="1" outlineLevel="1"/>
    <col min="49" max="49" width="11.5" style="3" collapsed="1"/>
    <col min="50" max="50" width="23.75" style="3" customWidth="1" outlineLevel="1"/>
    <col min="51" max="51" width="21.125" style="3" customWidth="1" outlineLevel="1"/>
    <col min="52" max="54" width="11.5" style="3" customWidth="1" outlineLevel="1"/>
    <col min="55" max="55" width="19.875" style="3" customWidth="1" outlineLevel="1"/>
    <col min="56" max="56" width="23.625" style="3" bestFit="1" customWidth="1" outlineLevel="1"/>
    <col min="57" max="57" width="10.875" style="3" customWidth="1" outlineLevel="1"/>
    <col min="58" max="58" width="11.5" style="3"/>
    <col min="60" max="60" width="20.875" bestFit="1" customWidth="1"/>
    <col min="61" max="61" width="25.5" bestFit="1" customWidth="1"/>
    <col min="64" max="64" width="20.875" bestFit="1" customWidth="1"/>
    <col min="65" max="65" width="29.25" bestFit="1" customWidth="1"/>
    <col min="69" max="69" width="23.875" customWidth="1"/>
    <col min="70" max="70" width="25.5" bestFit="1" customWidth="1"/>
    <col min="71" max="72" width="11.5" style="3"/>
    <col min="73" max="73" width="20.875" style="3" bestFit="1" customWidth="1"/>
    <col min="74" max="74" width="14.75" style="3" bestFit="1" customWidth="1"/>
    <col min="75" max="75" width="11.5" style="3"/>
    <col min="76" max="76" width="8.5" style="3" customWidth="1"/>
    <col min="77" max="78" width="11.5" style="3"/>
    <col min="79" max="79" width="20.875" style="3" customWidth="1"/>
    <col min="80" max="16384" width="11.5" style="3"/>
  </cols>
  <sheetData>
    <row r="1" spans="1:75" ht="15">
      <c r="A1" s="1" t="s">
        <v>349</v>
      </c>
      <c r="B1" s="2" t="s">
        <v>373</v>
      </c>
      <c r="C1"/>
      <c r="D1"/>
      <c r="F1" s="4" t="s">
        <v>102</v>
      </c>
      <c r="G1" s="5" t="s">
        <v>372</v>
      </c>
      <c r="I1" s="4" t="s">
        <v>466</v>
      </c>
      <c r="J1" s="5" t="s">
        <v>163</v>
      </c>
      <c r="K1" s="5" t="s">
        <v>32</v>
      </c>
      <c r="L1" s="6" t="s">
        <v>374</v>
      </c>
      <c r="N1" s="1" t="s">
        <v>278</v>
      </c>
      <c r="O1" s="1" t="s">
        <v>214</v>
      </c>
      <c r="P1" s="1" t="s">
        <v>348</v>
      </c>
      <c r="R1" s="2" t="s">
        <v>280</v>
      </c>
      <c r="S1" s="2" t="s">
        <v>213</v>
      </c>
      <c r="T1" s="2" t="s">
        <v>371</v>
      </c>
      <c r="V1" s="2" t="s">
        <v>285</v>
      </c>
      <c r="W1" s="2" t="s">
        <v>286</v>
      </c>
      <c r="X1" s="2" t="s">
        <v>371</v>
      </c>
      <c r="Z1" s="2" t="s">
        <v>316</v>
      </c>
      <c r="AA1" s="2" t="s">
        <v>318</v>
      </c>
      <c r="AB1" s="2" t="s">
        <v>371</v>
      </c>
      <c r="AD1" s="2" t="s">
        <v>319</v>
      </c>
      <c r="AE1" s="2" t="s">
        <v>317</v>
      </c>
      <c r="AF1" s="2" t="s">
        <v>371</v>
      </c>
      <c r="AH1" s="2" t="s">
        <v>320</v>
      </c>
      <c r="AI1" s="2" t="s">
        <v>317</v>
      </c>
      <c r="AJ1" s="2" t="s">
        <v>371</v>
      </c>
      <c r="AL1" s="2" t="s">
        <v>321</v>
      </c>
      <c r="AM1" s="2" t="s">
        <v>317</v>
      </c>
      <c r="AN1" s="2" t="s">
        <v>371</v>
      </c>
      <c r="AP1" s="2" t="s">
        <v>322</v>
      </c>
      <c r="AQ1" s="2" t="s">
        <v>317</v>
      </c>
      <c r="AR1" s="2" t="s">
        <v>371</v>
      </c>
      <c r="AT1" s="2" t="s">
        <v>323</v>
      </c>
      <c r="AU1" s="2" t="s">
        <v>317</v>
      </c>
      <c r="AV1" s="2" t="s">
        <v>371</v>
      </c>
      <c r="AX1" s="5" t="s">
        <v>33</v>
      </c>
      <c r="AY1" s="5" t="s">
        <v>179</v>
      </c>
      <c r="AZ1" s="5" t="s">
        <v>32</v>
      </c>
      <c r="BA1" s="5" t="s">
        <v>317</v>
      </c>
      <c r="BC1" s="1" t="s">
        <v>278</v>
      </c>
      <c r="BD1" s="1" t="s">
        <v>457</v>
      </c>
      <c r="BE1" s="2" t="s">
        <v>371</v>
      </c>
      <c r="BH1" s="1" t="s">
        <v>278</v>
      </c>
      <c r="BI1" s="1" t="s">
        <v>459</v>
      </c>
      <c r="BJ1" s="1" t="s">
        <v>348</v>
      </c>
      <c r="BL1" s="1" t="s">
        <v>278</v>
      </c>
      <c r="BM1" s="1" t="s">
        <v>460</v>
      </c>
      <c r="BO1" s="3"/>
      <c r="BQ1" s="2" t="s">
        <v>387</v>
      </c>
      <c r="BR1" s="2" t="s">
        <v>459</v>
      </c>
      <c r="BS1" s="2" t="s">
        <v>388</v>
      </c>
      <c r="BV1" s="1" t="s">
        <v>278</v>
      </c>
      <c r="BW1" s="1" t="s">
        <v>458</v>
      </c>
    </row>
    <row r="2" spans="1:75" ht="15">
      <c r="A2" s="7" t="s">
        <v>178</v>
      </c>
      <c r="B2" s="8">
        <v>5133301000</v>
      </c>
      <c r="C2"/>
      <c r="D2"/>
      <c r="F2" s="9" t="s">
        <v>94</v>
      </c>
      <c r="G2" s="10">
        <v>118914000</v>
      </c>
      <c r="I2" s="18" t="s">
        <v>219</v>
      </c>
      <c r="J2" s="8">
        <v>0</v>
      </c>
      <c r="K2" s="11" t="s">
        <v>106</v>
      </c>
      <c r="L2" s="11" cm="1">
        <f t="array" ref="L2">INDEX($O$2:$O$23,MATCH(K2,$N$2:$N$23,0),)</f>
        <v>7</v>
      </c>
      <c r="N2" s="11" t="s">
        <v>120</v>
      </c>
      <c r="O2" s="12">
        <v>1</v>
      </c>
      <c r="P2" s="11" t="s">
        <v>120</v>
      </c>
      <c r="R2" s="13">
        <v>0</v>
      </c>
      <c r="S2" s="14">
        <v>1</v>
      </c>
      <c r="T2" s="14" t="s">
        <v>120</v>
      </c>
      <c r="V2" s="13" t="s">
        <v>282</v>
      </c>
      <c r="W2" s="14">
        <v>1</v>
      </c>
      <c r="X2" s="14" t="s">
        <v>120</v>
      </c>
      <c r="Z2" s="15">
        <v>1</v>
      </c>
      <c r="AA2" s="3">
        <v>7</v>
      </c>
      <c r="AB2" s="3" t="s">
        <v>174</v>
      </c>
      <c r="AD2" s="15">
        <v>1</v>
      </c>
      <c r="AE2" s="3">
        <v>7</v>
      </c>
      <c r="AF2" s="3" t="s">
        <v>174</v>
      </c>
      <c r="AH2" s="15">
        <v>1</v>
      </c>
      <c r="AI2" s="3">
        <v>7</v>
      </c>
      <c r="AJ2" s="3" t="s">
        <v>174</v>
      </c>
      <c r="AL2" s="15">
        <v>1</v>
      </c>
      <c r="AM2" s="3">
        <v>8</v>
      </c>
      <c r="AN2" s="3" t="s">
        <v>174</v>
      </c>
      <c r="AP2" s="15">
        <v>0</v>
      </c>
      <c r="AQ2" s="3">
        <v>8</v>
      </c>
      <c r="AR2" s="14" t="s">
        <v>174</v>
      </c>
      <c r="AT2" s="13" t="s">
        <v>282</v>
      </c>
      <c r="AU2" s="14">
        <v>1</v>
      </c>
      <c r="AV2" s="14" t="s">
        <v>120</v>
      </c>
      <c r="AX2" s="11" t="s">
        <v>12</v>
      </c>
      <c r="AY2" s="10">
        <v>8562000</v>
      </c>
      <c r="AZ2" s="16" t="s">
        <v>112</v>
      </c>
      <c r="BA2" s="11" cm="1">
        <f t="array" ref="BA2">INDEX($BD$2:$BD$23,MATCH(AZ2,$BC$2:$BC$23,0),)</f>
        <v>6</v>
      </c>
      <c r="BC2" s="11" t="s">
        <v>120</v>
      </c>
      <c r="BD2" s="12">
        <v>1</v>
      </c>
      <c r="BE2" s="11" t="s">
        <v>120</v>
      </c>
      <c r="BH2" s="142">
        <v>1</v>
      </c>
      <c r="BI2" s="12">
        <v>1</v>
      </c>
      <c r="BJ2" s="11" t="s">
        <v>120</v>
      </c>
      <c r="BL2" s="11" t="s">
        <v>389</v>
      </c>
      <c r="BM2" s="12">
        <v>1</v>
      </c>
      <c r="BO2" s="12">
        <v>7.5</v>
      </c>
      <c r="BQ2" s="11" t="s">
        <v>389</v>
      </c>
      <c r="BR2" s="12">
        <v>1</v>
      </c>
      <c r="BS2" s="12">
        <v>3</v>
      </c>
      <c r="BV2" s="11" t="s">
        <v>120</v>
      </c>
      <c r="BW2" s="12">
        <v>21</v>
      </c>
    </row>
    <row r="3" spans="1:75" ht="15">
      <c r="A3" s="7" t="s">
        <v>195</v>
      </c>
      <c r="B3" s="17">
        <v>-10935000</v>
      </c>
      <c r="C3"/>
      <c r="D3"/>
      <c r="F3" s="9" t="s">
        <v>96</v>
      </c>
      <c r="G3" s="10">
        <v>110227000</v>
      </c>
      <c r="I3" s="18" t="s">
        <v>220</v>
      </c>
      <c r="J3" s="8">
        <v>56914000</v>
      </c>
      <c r="K3" s="11" t="s">
        <v>105</v>
      </c>
      <c r="L3" s="11" cm="1">
        <f t="array" ref="L3">INDEX($O$2:$O$23,MATCH(K3,$N$2:$N$23,0),)</f>
        <v>6</v>
      </c>
      <c r="N3" s="11" t="s">
        <v>164</v>
      </c>
      <c r="O3" s="12">
        <v>1</v>
      </c>
      <c r="P3" s="11" t="s">
        <v>120</v>
      </c>
      <c r="R3" s="13">
        <f>100%+0.00001</f>
        <v>1.0000100000000001</v>
      </c>
      <c r="S3" s="14">
        <v>2</v>
      </c>
      <c r="T3" s="14" t="s">
        <v>104</v>
      </c>
      <c r="V3" s="13" t="s">
        <v>283</v>
      </c>
      <c r="W3" s="14">
        <v>2</v>
      </c>
      <c r="X3" s="14" t="s">
        <v>104</v>
      </c>
      <c r="Z3" s="15">
        <v>0.5</v>
      </c>
      <c r="AA3" s="3">
        <v>6</v>
      </c>
      <c r="AB3" s="3" t="s">
        <v>113</v>
      </c>
      <c r="AD3" s="15">
        <v>0.5</v>
      </c>
      <c r="AE3" s="3">
        <v>6</v>
      </c>
      <c r="AF3" s="3" t="s">
        <v>113</v>
      </c>
      <c r="AH3" s="15">
        <v>0.9</v>
      </c>
      <c r="AI3" s="3">
        <v>6</v>
      </c>
      <c r="AJ3" s="3" t="s">
        <v>113</v>
      </c>
      <c r="AL3" s="15">
        <v>0.2</v>
      </c>
      <c r="AM3" s="3">
        <v>7</v>
      </c>
      <c r="AN3" s="3" t="s">
        <v>113</v>
      </c>
      <c r="AP3" s="15">
        <v>0.05</v>
      </c>
      <c r="AQ3" s="3">
        <v>7</v>
      </c>
      <c r="AR3" s="14" t="s">
        <v>113</v>
      </c>
      <c r="AT3" s="13" t="s">
        <v>324</v>
      </c>
      <c r="AU3" s="14">
        <v>2</v>
      </c>
      <c r="AV3" s="14" t="s">
        <v>104</v>
      </c>
      <c r="AX3" s="11" t="s">
        <v>25</v>
      </c>
      <c r="AY3" s="10">
        <v>428095000</v>
      </c>
      <c r="AZ3" s="16" t="s">
        <v>111</v>
      </c>
      <c r="BA3" s="11" cm="1">
        <f t="array" ref="BA3">INDEX($BD$2:$BD$23,MATCH(AZ3,$BC$2:$BC$23,0),)</f>
        <v>2</v>
      </c>
      <c r="BC3" s="11" t="s">
        <v>164</v>
      </c>
      <c r="BD3" s="12">
        <v>2</v>
      </c>
      <c r="BE3" s="11" t="s">
        <v>104</v>
      </c>
      <c r="BH3" s="143">
        <v>0.66700000000000004</v>
      </c>
      <c r="BI3" s="12">
        <v>2</v>
      </c>
      <c r="BJ3" s="11" t="s">
        <v>104</v>
      </c>
      <c r="BL3" s="11" t="s">
        <v>209</v>
      </c>
      <c r="BM3" s="12">
        <v>2</v>
      </c>
      <c r="BO3" s="12">
        <v>5.5</v>
      </c>
      <c r="BQ3" s="11" t="s">
        <v>209</v>
      </c>
      <c r="BR3" s="12">
        <v>2</v>
      </c>
      <c r="BS3" s="12">
        <v>2</v>
      </c>
      <c r="BV3" s="11" t="s">
        <v>164</v>
      </c>
      <c r="BW3" s="12">
        <v>20</v>
      </c>
    </row>
    <row r="4" spans="1:75" ht="15">
      <c r="A4" s="7" t="s">
        <v>52</v>
      </c>
      <c r="B4" s="17">
        <v>0</v>
      </c>
      <c r="C4"/>
      <c r="D4"/>
      <c r="F4" s="9" t="s">
        <v>232</v>
      </c>
      <c r="G4" s="10">
        <v>97636000</v>
      </c>
      <c r="I4" s="18" t="s">
        <v>221</v>
      </c>
      <c r="J4" s="8">
        <v>18528000</v>
      </c>
      <c r="K4" s="11" t="s">
        <v>165</v>
      </c>
      <c r="L4" s="11" cm="1">
        <f t="array" ref="L4">INDEX($O$2:$O$23,MATCH(K4,$N$2:$N$23,0),)</f>
        <v>3</v>
      </c>
      <c r="N4" s="11" t="s">
        <v>111</v>
      </c>
      <c r="O4" s="12">
        <v>2</v>
      </c>
      <c r="P4" s="11" t="s">
        <v>104</v>
      </c>
      <c r="R4" s="13">
        <f>150%+0.00001</f>
        <v>1.5000100000000001</v>
      </c>
      <c r="S4" s="14">
        <v>3</v>
      </c>
      <c r="T4" s="14" t="s">
        <v>116</v>
      </c>
      <c r="V4" s="13" t="s">
        <v>281</v>
      </c>
      <c r="W4" s="14">
        <v>3</v>
      </c>
      <c r="X4" s="14" t="s">
        <v>116</v>
      </c>
      <c r="Z4" s="15">
        <v>0.3</v>
      </c>
      <c r="AA4" s="3">
        <v>5</v>
      </c>
      <c r="AB4" s="3" t="s">
        <v>203</v>
      </c>
      <c r="AD4" s="15">
        <v>0.4</v>
      </c>
      <c r="AE4" s="3">
        <v>5</v>
      </c>
      <c r="AF4" s="3" t="s">
        <v>203</v>
      </c>
      <c r="AH4" s="15">
        <v>0.8</v>
      </c>
      <c r="AI4" s="3">
        <v>5</v>
      </c>
      <c r="AJ4" s="3" t="s">
        <v>203</v>
      </c>
      <c r="AL4" s="15">
        <v>0.15</v>
      </c>
      <c r="AM4" s="3">
        <v>6</v>
      </c>
      <c r="AN4" s="3" t="s">
        <v>203</v>
      </c>
      <c r="AP4" s="15">
        <v>0.1</v>
      </c>
      <c r="AQ4" s="3">
        <v>6</v>
      </c>
      <c r="AR4" s="14" t="s">
        <v>203</v>
      </c>
      <c r="AT4" s="13" t="s">
        <v>281</v>
      </c>
      <c r="AU4" s="14">
        <v>3</v>
      </c>
      <c r="AV4" s="14" t="s">
        <v>116</v>
      </c>
      <c r="AX4" s="11" t="s">
        <v>10</v>
      </c>
      <c r="AY4" s="10">
        <v>8562000</v>
      </c>
      <c r="AZ4" s="16" t="s">
        <v>105</v>
      </c>
      <c r="BA4" s="11" cm="1">
        <f t="array" ref="BA4">INDEX($BD$2:$BD$23,MATCH(AZ4,$BC$2:$BC$23,0),)</f>
        <v>6</v>
      </c>
      <c r="BC4" s="11" t="s">
        <v>111</v>
      </c>
      <c r="BD4" s="12">
        <v>2</v>
      </c>
      <c r="BE4" s="11" t="s">
        <v>104</v>
      </c>
      <c r="BH4" s="142">
        <v>0.5</v>
      </c>
      <c r="BI4" s="12">
        <v>3</v>
      </c>
      <c r="BJ4" s="11" t="s">
        <v>116</v>
      </c>
      <c r="BL4" s="11" t="s">
        <v>417</v>
      </c>
      <c r="BM4" s="12">
        <v>3.5</v>
      </c>
      <c r="BO4" s="12">
        <v>3.5</v>
      </c>
      <c r="BQ4" s="11" t="s">
        <v>208</v>
      </c>
      <c r="BR4" s="12">
        <v>3.5</v>
      </c>
      <c r="BS4" s="12">
        <v>1</v>
      </c>
      <c r="BV4" s="11" t="s">
        <v>111</v>
      </c>
      <c r="BW4" s="12">
        <v>19</v>
      </c>
    </row>
    <row r="5" spans="1:75" ht="15">
      <c r="A5" s="7" t="s">
        <v>268</v>
      </c>
      <c r="B5" s="8">
        <v>1814281000</v>
      </c>
      <c r="C5"/>
      <c r="D5"/>
      <c r="F5" s="9" t="s">
        <v>95</v>
      </c>
      <c r="G5" s="10">
        <v>96092000</v>
      </c>
      <c r="I5" s="18" t="s">
        <v>222</v>
      </c>
      <c r="J5" s="8">
        <v>35152000</v>
      </c>
      <c r="K5" s="11" t="s">
        <v>212</v>
      </c>
      <c r="L5" s="11" cm="1">
        <f t="array" ref="L5">INDEX($O$2:$O$23,MATCH(K5,$N$2:$N$23,0),)</f>
        <v>8</v>
      </c>
      <c r="N5" s="11" t="s">
        <v>107</v>
      </c>
      <c r="O5" s="12">
        <v>2</v>
      </c>
      <c r="P5" s="11" t="s">
        <v>104</v>
      </c>
      <c r="R5" s="13">
        <f>250%+0.00001</f>
        <v>2.5000100000000001</v>
      </c>
      <c r="S5" s="14">
        <v>4</v>
      </c>
      <c r="T5" s="14" t="s">
        <v>55</v>
      </c>
      <c r="V5" s="13" t="s">
        <v>284</v>
      </c>
      <c r="W5" s="14">
        <v>4</v>
      </c>
      <c r="X5" s="14" t="s">
        <v>55</v>
      </c>
      <c r="Z5" s="15">
        <f>20%-0.0001</f>
        <v>0.19990000000000002</v>
      </c>
      <c r="AA5" s="3">
        <v>4</v>
      </c>
      <c r="AB5" s="3" t="s">
        <v>279</v>
      </c>
      <c r="AD5" s="15">
        <v>0.3</v>
      </c>
      <c r="AE5" s="3">
        <v>4</v>
      </c>
      <c r="AF5" s="3" t="s">
        <v>279</v>
      </c>
      <c r="AH5" s="15">
        <v>0.7</v>
      </c>
      <c r="AI5" s="3">
        <v>4</v>
      </c>
      <c r="AJ5" s="3" t="s">
        <v>279</v>
      </c>
      <c r="AL5" s="15">
        <v>0.1</v>
      </c>
      <c r="AM5" s="3">
        <v>5</v>
      </c>
      <c r="AN5" s="3" t="s">
        <v>279</v>
      </c>
      <c r="AP5" s="15">
        <v>0.15</v>
      </c>
      <c r="AQ5" s="3">
        <v>5</v>
      </c>
      <c r="AR5" s="14" t="s">
        <v>279</v>
      </c>
      <c r="AT5" s="13" t="s">
        <v>284</v>
      </c>
      <c r="AU5" s="14">
        <v>4</v>
      </c>
      <c r="AV5" s="14" t="s">
        <v>55</v>
      </c>
      <c r="AX5" s="11" t="s">
        <v>24</v>
      </c>
      <c r="AY5" s="10">
        <v>35674000</v>
      </c>
      <c r="AZ5" s="16" t="s">
        <v>105</v>
      </c>
      <c r="BA5" s="11" cm="1">
        <f t="array" ref="BA5">INDEX($BD$2:$BD$23,MATCH(AZ5,$BC$2:$BC$23,0),)</f>
        <v>6</v>
      </c>
      <c r="BC5" s="11" t="s">
        <v>107</v>
      </c>
      <c r="BD5" s="12">
        <v>2</v>
      </c>
      <c r="BE5" s="11" t="s">
        <v>104</v>
      </c>
      <c r="BH5" s="143">
        <v>0.33300000000000002</v>
      </c>
      <c r="BI5" s="12">
        <v>4</v>
      </c>
      <c r="BJ5" s="11" t="s">
        <v>55</v>
      </c>
      <c r="BL5" s="11" t="s">
        <v>207</v>
      </c>
      <c r="BM5" s="12">
        <v>5.5</v>
      </c>
      <c r="BO5" s="12">
        <v>2</v>
      </c>
      <c r="BQ5" s="11" t="s">
        <v>207</v>
      </c>
      <c r="BR5" s="12">
        <v>5.5</v>
      </c>
      <c r="BS5" s="12">
        <v>0</v>
      </c>
      <c r="BV5" s="11" t="s">
        <v>107</v>
      </c>
      <c r="BW5" s="12">
        <v>18</v>
      </c>
    </row>
    <row r="6" spans="1:75" ht="15">
      <c r="A6" s="7" t="s">
        <v>269</v>
      </c>
      <c r="B6" s="8">
        <v>45844000</v>
      </c>
      <c r="C6"/>
      <c r="D6"/>
      <c r="F6" s="9" t="s">
        <v>97</v>
      </c>
      <c r="G6" s="10">
        <v>78226000</v>
      </c>
      <c r="I6" s="18" t="s">
        <v>223</v>
      </c>
      <c r="J6" s="8">
        <v>110227000</v>
      </c>
      <c r="K6" s="11" t="s">
        <v>105</v>
      </c>
      <c r="L6" s="11" cm="1">
        <f t="array" ref="L6">INDEX($O$2:$O$23,MATCH(K6,$N$2:$N$23,0),)</f>
        <v>6</v>
      </c>
      <c r="N6" s="11" t="s">
        <v>108</v>
      </c>
      <c r="O6" s="12">
        <v>2</v>
      </c>
      <c r="P6" s="11" t="s">
        <v>104</v>
      </c>
      <c r="R6" s="13">
        <f>400%+0.00001</f>
        <v>4.0000099999999996</v>
      </c>
      <c r="S6" s="14">
        <v>5</v>
      </c>
      <c r="T6" s="14" t="s">
        <v>279</v>
      </c>
      <c r="Z6" s="15">
        <f>15%-0.00001</f>
        <v>0.14998999999999998</v>
      </c>
      <c r="AA6" s="3">
        <v>3</v>
      </c>
      <c r="AB6" s="3" t="s">
        <v>55</v>
      </c>
      <c r="AD6" s="15">
        <f>15%-0.00001</f>
        <v>0.14998999999999998</v>
      </c>
      <c r="AE6" s="3">
        <v>3</v>
      </c>
      <c r="AF6" s="3" t="s">
        <v>55</v>
      </c>
      <c r="AH6" s="15">
        <v>0.6</v>
      </c>
      <c r="AI6" s="3">
        <v>3</v>
      </c>
      <c r="AJ6" s="3" t="s">
        <v>55</v>
      </c>
      <c r="AL6" s="15">
        <v>0.06</v>
      </c>
      <c r="AM6" s="3">
        <v>4</v>
      </c>
      <c r="AN6" s="3" t="s">
        <v>55</v>
      </c>
      <c r="AP6" s="15">
        <v>0.25</v>
      </c>
      <c r="AQ6" s="3">
        <v>4</v>
      </c>
      <c r="AR6" s="14" t="s">
        <v>55</v>
      </c>
      <c r="AT6" s="13" t="s">
        <v>325</v>
      </c>
      <c r="AU6" s="14">
        <v>5</v>
      </c>
      <c r="AV6" s="14" t="s">
        <v>279</v>
      </c>
      <c r="AX6" s="11" t="s">
        <v>9</v>
      </c>
      <c r="AY6" s="10">
        <v>171238000</v>
      </c>
      <c r="AZ6" s="16" t="s">
        <v>106</v>
      </c>
      <c r="BA6" s="11" cm="1">
        <f t="array" ref="BA6">INDEX($BD$2:$BD$23,MATCH(AZ6,$BC$2:$BC$23,0),)</f>
        <v>7</v>
      </c>
      <c r="BC6" s="11" t="s">
        <v>108</v>
      </c>
      <c r="BD6" s="12">
        <v>3</v>
      </c>
      <c r="BE6" s="11" t="s">
        <v>116</v>
      </c>
      <c r="BH6" s="143">
        <v>0.16700000000000001</v>
      </c>
      <c r="BI6" s="12">
        <v>5</v>
      </c>
      <c r="BJ6" s="11" t="s">
        <v>279</v>
      </c>
      <c r="BL6" s="11" t="s">
        <v>206</v>
      </c>
      <c r="BM6" s="12">
        <v>7.5</v>
      </c>
      <c r="BO6" s="12">
        <v>1</v>
      </c>
      <c r="BQ6" s="11" t="s">
        <v>206</v>
      </c>
      <c r="BR6" s="12">
        <v>7.5</v>
      </c>
      <c r="BS6" s="12">
        <v>0</v>
      </c>
      <c r="BV6" s="11" t="s">
        <v>108</v>
      </c>
      <c r="BW6" s="12">
        <v>17</v>
      </c>
    </row>
    <row r="7" spans="1:75" ht="15">
      <c r="A7" s="7" t="s">
        <v>78</v>
      </c>
      <c r="B7" s="17">
        <v>64213000</v>
      </c>
      <c r="C7"/>
      <c r="D7"/>
      <c r="F7" s="9" t="s">
        <v>100</v>
      </c>
      <c r="G7" s="10">
        <v>71129000</v>
      </c>
      <c r="I7" s="18" t="s">
        <v>28</v>
      </c>
      <c r="J7" s="8">
        <v>6005000</v>
      </c>
      <c r="K7" s="11" t="s">
        <v>212</v>
      </c>
      <c r="L7" s="11" cm="1">
        <f t="array" ref="L7">INDEX($O$2:$O$23,MATCH(K7,$N$2:$N$23,0),)</f>
        <v>8</v>
      </c>
      <c r="N7" s="11" t="s">
        <v>165</v>
      </c>
      <c r="O7" s="12">
        <v>3</v>
      </c>
      <c r="P7" s="11" t="s">
        <v>116</v>
      </c>
      <c r="R7" s="13">
        <f>600%+0.00001</f>
        <v>6.0000099999999996</v>
      </c>
      <c r="S7" s="14">
        <v>6</v>
      </c>
      <c r="T7" s="14" t="s">
        <v>203</v>
      </c>
      <c r="Z7" s="15">
        <f>10%-0.00001</f>
        <v>9.9990000000000009E-2</v>
      </c>
      <c r="AA7" s="3">
        <v>2</v>
      </c>
      <c r="AB7" s="3" t="s">
        <v>116</v>
      </c>
      <c r="AD7" s="15">
        <f>10%-0.00001</f>
        <v>9.9990000000000009E-2</v>
      </c>
      <c r="AE7" s="3">
        <v>2</v>
      </c>
      <c r="AF7" s="3" t="s">
        <v>116</v>
      </c>
      <c r="AH7" s="15">
        <v>0.4</v>
      </c>
      <c r="AI7" s="3">
        <v>2</v>
      </c>
      <c r="AJ7" s="3" t="s">
        <v>116</v>
      </c>
      <c r="AL7" s="15">
        <v>0.03</v>
      </c>
      <c r="AM7" s="3">
        <v>3</v>
      </c>
      <c r="AN7" s="3" t="s">
        <v>116</v>
      </c>
      <c r="AP7" s="15">
        <v>0.75</v>
      </c>
      <c r="AQ7" s="3">
        <v>3</v>
      </c>
      <c r="AR7" s="14" t="s">
        <v>116</v>
      </c>
      <c r="AT7" s="13" t="s">
        <v>326</v>
      </c>
      <c r="AU7" s="14">
        <v>6</v>
      </c>
      <c r="AV7" s="14" t="s">
        <v>203</v>
      </c>
      <c r="AX7" s="11" t="s">
        <v>21</v>
      </c>
      <c r="AY7" s="10">
        <v>1027429000</v>
      </c>
      <c r="AZ7" s="16" t="s">
        <v>108</v>
      </c>
      <c r="BA7" s="11" cm="1">
        <f t="array" ref="BA7">INDEX($BD$2:$BD$23,MATCH(AZ7,$BC$2:$BC$23,0),)</f>
        <v>3</v>
      </c>
      <c r="BC7" s="11" t="s">
        <v>165</v>
      </c>
      <c r="BD7" s="12">
        <v>3</v>
      </c>
      <c r="BE7" s="11" t="s">
        <v>116</v>
      </c>
      <c r="BH7" s="142">
        <v>0.1</v>
      </c>
      <c r="BI7" s="12">
        <v>6</v>
      </c>
      <c r="BJ7" s="11" t="s">
        <v>203</v>
      </c>
      <c r="BO7" s="3"/>
      <c r="BQ7" s="3"/>
      <c r="BR7" s="3"/>
      <c r="BV7" s="11" t="s">
        <v>165</v>
      </c>
      <c r="BW7" s="12">
        <v>16</v>
      </c>
    </row>
    <row r="8" spans="1:75" ht="15">
      <c r="A8" s="18" t="s">
        <v>270</v>
      </c>
      <c r="B8" s="19">
        <f>SUM(B5:B7)</f>
        <v>1924338000</v>
      </c>
      <c r="C8"/>
      <c r="D8"/>
      <c r="F8" s="9" t="s">
        <v>99</v>
      </c>
      <c r="G8" s="10">
        <v>69423000</v>
      </c>
      <c r="I8" s="18" t="s">
        <v>224</v>
      </c>
      <c r="J8" s="8">
        <v>60377000</v>
      </c>
      <c r="K8" s="11" t="s">
        <v>212</v>
      </c>
      <c r="L8" s="11" cm="1">
        <f t="array" ref="L8">INDEX($O$2:$O$23,MATCH(K8,$N$2:$N$23,0),)</f>
        <v>8</v>
      </c>
      <c r="N8" s="11" t="s">
        <v>166</v>
      </c>
      <c r="O8" s="12">
        <v>3</v>
      </c>
      <c r="P8" s="11" t="s">
        <v>116</v>
      </c>
      <c r="R8" s="13">
        <f>1000%+0.00001</f>
        <v>10.00001</v>
      </c>
      <c r="S8" s="14">
        <v>7</v>
      </c>
      <c r="T8" s="14" t="s">
        <v>113</v>
      </c>
      <c r="Z8" s="15">
        <f>5%-0.00001</f>
        <v>4.999E-2</v>
      </c>
      <c r="AA8" s="3">
        <v>1</v>
      </c>
      <c r="AB8" s="3" t="s">
        <v>104</v>
      </c>
      <c r="AD8" s="15">
        <f>5%-0.00001</f>
        <v>4.999E-2</v>
      </c>
      <c r="AE8" s="3">
        <v>1</v>
      </c>
      <c r="AF8" s="3" t="s">
        <v>104</v>
      </c>
      <c r="AH8" s="15">
        <v>0.2</v>
      </c>
      <c r="AI8" s="3">
        <v>1</v>
      </c>
      <c r="AJ8" s="3" t="s">
        <v>104</v>
      </c>
      <c r="AL8" s="15">
        <v>0.01</v>
      </c>
      <c r="AM8" s="3">
        <v>2</v>
      </c>
      <c r="AN8" s="3" t="s">
        <v>104</v>
      </c>
      <c r="AP8" s="15">
        <v>1.2</v>
      </c>
      <c r="AQ8" s="3">
        <v>2</v>
      </c>
      <c r="AR8" s="14" t="s">
        <v>104</v>
      </c>
      <c r="AT8" s="13" t="s">
        <v>327</v>
      </c>
      <c r="AU8" s="14">
        <v>7</v>
      </c>
      <c r="AV8" s="14" t="s">
        <v>113</v>
      </c>
      <c r="AX8" s="11" t="s">
        <v>22</v>
      </c>
      <c r="AY8" s="10">
        <v>8562000</v>
      </c>
      <c r="AZ8" s="16" t="s">
        <v>106</v>
      </c>
      <c r="BA8" s="11" cm="1">
        <f t="array" ref="BA8">INDEX($BD$2:$BD$23,MATCH(AZ8,$BC$2:$BC$23,0),)</f>
        <v>7</v>
      </c>
      <c r="BC8" s="11" t="s">
        <v>166</v>
      </c>
      <c r="BD8" s="12">
        <v>3</v>
      </c>
      <c r="BE8" s="11" t="s">
        <v>116</v>
      </c>
      <c r="BH8" s="142">
        <v>0.05</v>
      </c>
      <c r="BI8" s="12">
        <v>7</v>
      </c>
      <c r="BJ8" s="11" t="s">
        <v>113</v>
      </c>
      <c r="BO8" s="3"/>
      <c r="BQ8" s="3"/>
      <c r="BR8" s="3"/>
      <c r="BV8" s="11" t="s">
        <v>166</v>
      </c>
      <c r="BW8" s="12">
        <v>15</v>
      </c>
    </row>
    <row r="9" spans="1:75" ht="15">
      <c r="A9" s="7" t="s">
        <v>272</v>
      </c>
      <c r="B9" s="19">
        <v>0</v>
      </c>
      <c r="C9"/>
      <c r="D9"/>
      <c r="F9" s="9" t="s">
        <v>98</v>
      </c>
      <c r="G9" s="10">
        <v>66165000</v>
      </c>
      <c r="I9" s="18" t="s">
        <v>225</v>
      </c>
      <c r="J9" s="8">
        <v>44813000</v>
      </c>
      <c r="K9" s="11" t="s">
        <v>105</v>
      </c>
      <c r="L9" s="11" cm="1">
        <f t="array" ref="L9">INDEX($O$2:$O$23,MATCH(K9,$N$2:$N$23,0),)</f>
        <v>6</v>
      </c>
      <c r="N9" s="11" t="s">
        <v>167</v>
      </c>
      <c r="O9" s="12">
        <v>3</v>
      </c>
      <c r="P9" s="11" t="s">
        <v>116</v>
      </c>
      <c r="R9" s="13">
        <f>1600%+0.00001</f>
        <v>16.00001</v>
      </c>
      <c r="S9" s="14">
        <v>8</v>
      </c>
      <c r="T9" s="14" t="s">
        <v>174</v>
      </c>
      <c r="Z9" s="15">
        <v>0</v>
      </c>
      <c r="AA9" s="3">
        <v>1</v>
      </c>
      <c r="AB9" s="3" t="s">
        <v>104</v>
      </c>
      <c r="AD9" s="15">
        <v>0</v>
      </c>
      <c r="AE9" s="3">
        <v>1</v>
      </c>
      <c r="AF9" s="3" t="s">
        <v>104</v>
      </c>
      <c r="AH9" s="15">
        <v>0</v>
      </c>
      <c r="AI9" s="3">
        <v>1</v>
      </c>
      <c r="AJ9" s="3" t="s">
        <v>104</v>
      </c>
      <c r="AL9" s="20">
        <v>5.0000000000000001E-3</v>
      </c>
      <c r="AM9" s="3">
        <v>1</v>
      </c>
      <c r="AN9" s="3" t="s">
        <v>120</v>
      </c>
      <c r="AP9" s="20">
        <v>2</v>
      </c>
      <c r="AQ9" s="3">
        <v>1</v>
      </c>
      <c r="AR9" s="14" t="s">
        <v>120</v>
      </c>
      <c r="AT9" s="13" t="s">
        <v>212</v>
      </c>
      <c r="AU9" s="14">
        <v>8</v>
      </c>
      <c r="AV9" s="14" t="s">
        <v>174</v>
      </c>
      <c r="AX9" s="11" t="s">
        <v>23</v>
      </c>
      <c r="AY9" s="10">
        <v>4757000</v>
      </c>
      <c r="AZ9" s="16" t="s">
        <v>106</v>
      </c>
      <c r="BA9" s="11" cm="1">
        <f t="array" ref="BA9">INDEX($BD$2:$BD$23,MATCH(AZ9,$BC$2:$BC$23,0),)</f>
        <v>7</v>
      </c>
      <c r="BC9" s="11" t="s">
        <v>167</v>
      </c>
      <c r="BD9" s="12">
        <v>4</v>
      </c>
      <c r="BE9" s="11" t="s">
        <v>55</v>
      </c>
      <c r="BH9" s="142">
        <v>0</v>
      </c>
      <c r="BI9" s="12">
        <v>8</v>
      </c>
      <c r="BJ9" s="11" t="s">
        <v>174</v>
      </c>
      <c r="BO9" s="3"/>
      <c r="BQ9" s="3"/>
      <c r="BR9" s="3"/>
      <c r="BV9" s="11" t="s">
        <v>167</v>
      </c>
      <c r="BW9" s="12">
        <v>14</v>
      </c>
    </row>
    <row r="10" spans="1:75" ht="15">
      <c r="A10" s="7" t="s">
        <v>340</v>
      </c>
      <c r="B10" s="17">
        <v>799572000</v>
      </c>
      <c r="C10"/>
      <c r="D10"/>
      <c r="F10" s="9" t="s">
        <v>117</v>
      </c>
      <c r="G10" s="10">
        <v>63263000</v>
      </c>
      <c r="I10" s="18" t="s">
        <v>377</v>
      </c>
      <c r="J10" s="8">
        <v>13795000</v>
      </c>
      <c r="K10" s="11" t="s">
        <v>106</v>
      </c>
      <c r="L10" s="11" cm="1">
        <f t="array" ref="L10">INDEX($O$2:$O$23,MATCH(K10,$N$2:$N$23,0),)</f>
        <v>7</v>
      </c>
      <c r="N10" s="11" t="s">
        <v>168</v>
      </c>
      <c r="O10" s="12">
        <v>4</v>
      </c>
      <c r="P10" s="11" t="s">
        <v>55</v>
      </c>
      <c r="R10" s="13"/>
      <c r="S10" s="14"/>
      <c r="AP10" s="15">
        <v>50</v>
      </c>
      <c r="AQ10" s="3">
        <v>1</v>
      </c>
      <c r="AR10" s="14" t="s">
        <v>120</v>
      </c>
      <c r="AU10" s="14"/>
      <c r="AX10" s="11" t="s">
        <v>26</v>
      </c>
      <c r="AY10" s="10">
        <v>599333000</v>
      </c>
      <c r="AZ10" s="16" t="s">
        <v>106</v>
      </c>
      <c r="BA10" s="11" cm="1">
        <f t="array" ref="BA10">INDEX($BD$2:$BD$23,MATCH(AZ10,$BC$2:$BC$23,0),)</f>
        <v>7</v>
      </c>
      <c r="BC10" s="11" t="s">
        <v>168</v>
      </c>
      <c r="BD10" s="12">
        <v>4</v>
      </c>
      <c r="BE10" s="11" t="s">
        <v>55</v>
      </c>
      <c r="BO10" s="3"/>
      <c r="BQ10" s="3"/>
      <c r="BR10" s="3"/>
      <c r="BV10" s="11" t="s">
        <v>168</v>
      </c>
      <c r="BW10" s="12">
        <v>13</v>
      </c>
    </row>
    <row r="11" spans="1:75" ht="15">
      <c r="A11" s="21" t="s">
        <v>333</v>
      </c>
      <c r="B11" s="17">
        <f>-10935000+12940000</f>
        <v>2005000</v>
      </c>
      <c r="C11"/>
      <c r="D11"/>
      <c r="F11" s="9" t="s">
        <v>118</v>
      </c>
      <c r="G11" s="10">
        <v>62561000</v>
      </c>
      <c r="I11" s="18" t="s">
        <v>227</v>
      </c>
      <c r="J11" s="8">
        <v>38636000</v>
      </c>
      <c r="K11" s="11" t="s">
        <v>106</v>
      </c>
      <c r="L11" s="11" cm="1">
        <f t="array" ref="L11">INDEX($O$2:$O$23,MATCH(K11,$N$2:$N$23,0),)</f>
        <v>7</v>
      </c>
      <c r="N11" s="11" t="s">
        <v>169</v>
      </c>
      <c r="O11" s="12">
        <v>4</v>
      </c>
      <c r="P11" s="11" t="s">
        <v>55</v>
      </c>
      <c r="AX11" s="11" t="s">
        <v>18</v>
      </c>
      <c r="AY11" s="10">
        <v>51372000</v>
      </c>
      <c r="AZ11" s="16" t="s">
        <v>110</v>
      </c>
      <c r="BA11" s="11" cm="1">
        <f t="array" ref="BA11">INDEX($BD$2:$BD$23,MATCH(AZ11,$BC$2:$BC$23,0),)</f>
        <v>5</v>
      </c>
      <c r="BC11" s="11" t="s">
        <v>169</v>
      </c>
      <c r="BD11" s="12">
        <v>4</v>
      </c>
      <c r="BE11" s="11" t="s">
        <v>55</v>
      </c>
      <c r="BO11" s="3"/>
      <c r="BQ11" s="3"/>
      <c r="BR11" s="3"/>
      <c r="BV11" s="11" t="s">
        <v>169</v>
      </c>
      <c r="BW11" s="12">
        <v>12</v>
      </c>
    </row>
    <row r="12" spans="1:75" ht="15">
      <c r="A12" s="21" t="s">
        <v>79</v>
      </c>
      <c r="B12" s="17">
        <v>716175000</v>
      </c>
      <c r="C12"/>
      <c r="D12"/>
      <c r="F12" s="22" t="s">
        <v>101</v>
      </c>
      <c r="G12" s="19">
        <f>SUM(G2:G11)</f>
        <v>833636000</v>
      </c>
      <c r="I12" s="18" t="s">
        <v>228</v>
      </c>
      <c r="J12" s="8">
        <v>17807000</v>
      </c>
      <c r="K12" s="11" t="s">
        <v>212</v>
      </c>
      <c r="L12" s="11" cm="1">
        <f t="array" ref="L12">INDEX($O$2:$O$23,MATCH(K12,$N$2:$N$23,0),)</f>
        <v>8</v>
      </c>
      <c r="N12" s="11" t="s">
        <v>109</v>
      </c>
      <c r="O12" s="12">
        <v>4</v>
      </c>
      <c r="P12" s="11" t="s">
        <v>55</v>
      </c>
      <c r="AP12" s="15"/>
      <c r="AR12" s="14"/>
      <c r="AX12" s="11" t="s">
        <v>19</v>
      </c>
      <c r="AY12" s="10">
        <v>8562000</v>
      </c>
      <c r="AZ12" s="16" t="s">
        <v>106</v>
      </c>
      <c r="BA12" s="11" cm="1">
        <f t="array" ref="BA12">INDEX($BD$2:$BD$23,MATCH(AZ12,$BC$2:$BC$23,0),)</f>
        <v>7</v>
      </c>
      <c r="BC12" s="11" t="s">
        <v>109</v>
      </c>
      <c r="BD12" s="12">
        <v>5</v>
      </c>
      <c r="BE12" s="11" t="s">
        <v>279</v>
      </c>
      <c r="BO12" s="3"/>
      <c r="BQ12" s="3"/>
      <c r="BR12" s="3"/>
      <c r="BV12" s="11" t="s">
        <v>109</v>
      </c>
      <c r="BW12" s="12">
        <v>11</v>
      </c>
    </row>
    <row r="13" spans="1:75" ht="15">
      <c r="A13" s="21" t="s">
        <v>332</v>
      </c>
      <c r="B13" s="17">
        <v>57018000</v>
      </c>
      <c r="C13"/>
      <c r="D13"/>
      <c r="F13" s="22" t="s">
        <v>119</v>
      </c>
      <c r="G13" s="19">
        <v>1860125000</v>
      </c>
      <c r="I13" s="18" t="s">
        <v>229</v>
      </c>
      <c r="J13" s="8">
        <v>44243000</v>
      </c>
      <c r="K13" s="11" t="s">
        <v>105</v>
      </c>
      <c r="L13" s="11" cm="1">
        <f t="array" ref="L13">INDEX($O$2:$O$23,MATCH(K13,$N$2:$N$23,0),)</f>
        <v>6</v>
      </c>
      <c r="N13" s="11" t="s">
        <v>170</v>
      </c>
      <c r="O13" s="12">
        <v>5</v>
      </c>
      <c r="P13" s="11" t="s">
        <v>279</v>
      </c>
      <c r="Z13" s="15">
        <v>0</v>
      </c>
      <c r="AA13" s="3">
        <v>1</v>
      </c>
      <c r="AB13" s="3" t="s">
        <v>104</v>
      </c>
      <c r="AD13" s="15"/>
      <c r="AH13" s="15"/>
      <c r="AP13" s="15">
        <v>50</v>
      </c>
      <c r="AQ13" s="3">
        <v>1</v>
      </c>
      <c r="AR13" s="14" t="s">
        <v>120</v>
      </c>
      <c r="AX13" s="11" t="s">
        <v>20</v>
      </c>
      <c r="AY13" s="10">
        <v>342476000</v>
      </c>
      <c r="AZ13" s="16" t="s">
        <v>107</v>
      </c>
      <c r="BA13" s="11" cm="1">
        <f t="array" ref="BA13">INDEX($BD$2:$BD$23,MATCH(AZ13,$BC$2:$BC$23,0),)</f>
        <v>2</v>
      </c>
      <c r="BC13" s="11" t="s">
        <v>170</v>
      </c>
      <c r="BD13" s="12">
        <v>5</v>
      </c>
      <c r="BE13" s="11" t="s">
        <v>279</v>
      </c>
      <c r="BO13" s="3"/>
      <c r="BQ13" s="3"/>
      <c r="BR13" s="3"/>
      <c r="BV13" s="11" t="s">
        <v>170</v>
      </c>
      <c r="BW13" s="12">
        <v>10</v>
      </c>
    </row>
    <row r="14" spans="1:75" ht="15">
      <c r="A14" s="23" t="s">
        <v>36</v>
      </c>
      <c r="B14" s="24">
        <f>SUM(B10,B13)</f>
        <v>856590000</v>
      </c>
      <c r="C14"/>
      <c r="D14"/>
      <c r="I14" s="18" t="s">
        <v>230</v>
      </c>
      <c r="J14" s="8">
        <v>94000</v>
      </c>
      <c r="K14" s="11" t="s">
        <v>212</v>
      </c>
      <c r="L14" s="11" cm="1">
        <f t="array" ref="L14">INDEX($O$2:$O$23,MATCH(K14,$N$2:$N$23,0),)</f>
        <v>8</v>
      </c>
      <c r="N14" s="11" t="s">
        <v>110</v>
      </c>
      <c r="O14" s="12">
        <v>6</v>
      </c>
      <c r="P14" s="11" t="s">
        <v>203</v>
      </c>
      <c r="Z14" s="15">
        <f>5%-0.00001</f>
        <v>4.999E-2</v>
      </c>
      <c r="AA14" s="3">
        <v>1</v>
      </c>
      <c r="AB14" s="3" t="s">
        <v>104</v>
      </c>
      <c r="AD14" s="15"/>
      <c r="AH14" s="15"/>
      <c r="AP14" s="20">
        <v>2</v>
      </c>
      <c r="AQ14" s="3">
        <v>1</v>
      </c>
      <c r="AR14" s="14" t="s">
        <v>120</v>
      </c>
      <c r="AX14" s="11" t="s">
        <v>13</v>
      </c>
      <c r="AY14" s="10">
        <v>627873000</v>
      </c>
      <c r="AZ14" s="16" t="s">
        <v>111</v>
      </c>
      <c r="BA14" s="11" cm="1">
        <f t="array" ref="BA14">INDEX($BD$2:$BD$23,MATCH(AZ14,$BC$2:$BC$23,0),)</f>
        <v>2</v>
      </c>
      <c r="BC14" s="11" t="s">
        <v>110</v>
      </c>
      <c r="BD14" s="12">
        <v>5</v>
      </c>
      <c r="BE14" s="11" t="s">
        <v>279</v>
      </c>
      <c r="BO14" s="3"/>
      <c r="BQ14" s="3"/>
      <c r="BR14" s="3"/>
      <c r="BV14" s="11" t="s">
        <v>110</v>
      </c>
      <c r="BW14" s="12">
        <v>9</v>
      </c>
    </row>
    <row r="15" spans="1:75" ht="15">
      <c r="A15" s="21" t="s">
        <v>287</v>
      </c>
      <c r="B15" s="17">
        <v>1467114000</v>
      </c>
      <c r="C15"/>
      <c r="D15"/>
      <c r="I15" s="18" t="s">
        <v>231</v>
      </c>
      <c r="J15" s="8">
        <v>17004000</v>
      </c>
      <c r="K15" s="11" t="s">
        <v>212</v>
      </c>
      <c r="L15" s="11" cm="1">
        <f t="array" ref="L15">INDEX($O$2:$O$23,MATCH(K15,$N$2:$N$23,0),)</f>
        <v>8</v>
      </c>
      <c r="N15" s="11" t="s">
        <v>112</v>
      </c>
      <c r="O15" s="12">
        <v>6</v>
      </c>
      <c r="P15" s="11" t="s">
        <v>203</v>
      </c>
      <c r="Z15" s="15">
        <f>10%-0.00001</f>
        <v>9.9990000000000009E-2</v>
      </c>
      <c r="AA15" s="3">
        <v>2</v>
      </c>
      <c r="AB15" s="3" t="s">
        <v>116</v>
      </c>
      <c r="AD15" s="15"/>
      <c r="AH15" s="15"/>
      <c r="AP15" s="15">
        <v>1.2</v>
      </c>
      <c r="AQ15" s="3">
        <v>2</v>
      </c>
      <c r="AR15" s="14" t="s">
        <v>104</v>
      </c>
      <c r="AX15" s="11" t="s">
        <v>14</v>
      </c>
      <c r="AY15" s="10">
        <v>28540000</v>
      </c>
      <c r="AZ15" s="16" t="s">
        <v>106</v>
      </c>
      <c r="BA15" s="11" cm="1">
        <f t="array" ref="BA15">INDEX($BD$2:$BD$23,MATCH(AZ15,$BC$2:$BC$23,0),)</f>
        <v>7</v>
      </c>
      <c r="BC15" s="11" t="s">
        <v>112</v>
      </c>
      <c r="BD15" s="12">
        <v>6</v>
      </c>
      <c r="BE15" s="11" t="s">
        <v>203</v>
      </c>
      <c r="BO15" s="3"/>
      <c r="BQ15" s="3"/>
      <c r="BR15" s="3"/>
      <c r="BV15" s="11" t="s">
        <v>112</v>
      </c>
      <c r="BW15" s="12">
        <v>8</v>
      </c>
    </row>
    <row r="16" spans="1:75" ht="15">
      <c r="A16" s="21" t="s">
        <v>288</v>
      </c>
      <c r="B16" s="17">
        <v>238335000</v>
      </c>
      <c r="C16"/>
      <c r="D16"/>
      <c r="I16" s="18" t="s">
        <v>232</v>
      </c>
      <c r="J16" s="10">
        <v>97636000</v>
      </c>
      <c r="K16" s="25" t="s">
        <v>105</v>
      </c>
      <c r="L16" s="11" cm="1">
        <f t="array" ref="L16">INDEX($O$2:$O$23,MATCH(K16,$N$2:$N$23,0),)</f>
        <v>6</v>
      </c>
      <c r="M16" s="26"/>
      <c r="N16" s="25" t="s">
        <v>105</v>
      </c>
      <c r="O16" s="12">
        <v>6</v>
      </c>
      <c r="P16" s="11" t="s">
        <v>203</v>
      </c>
      <c r="Z16" s="15">
        <f>15%-0.00001</f>
        <v>0.14998999999999998</v>
      </c>
      <c r="AA16" s="3">
        <v>3</v>
      </c>
      <c r="AB16" s="3" t="s">
        <v>55</v>
      </c>
      <c r="AD16" s="15"/>
      <c r="AH16" s="15"/>
      <c r="AP16" s="15">
        <v>0.75</v>
      </c>
      <c r="AQ16" s="3">
        <v>3</v>
      </c>
      <c r="AR16" s="14" t="s">
        <v>116</v>
      </c>
      <c r="AX16" s="11" t="s">
        <v>15</v>
      </c>
      <c r="AY16" s="10">
        <v>570794000</v>
      </c>
      <c r="AZ16" s="16" t="s">
        <v>106</v>
      </c>
      <c r="BA16" s="11" cm="1">
        <f t="array" ref="BA16">INDEX($BD$2:$BD$23,MATCH(AZ16,$BC$2:$BC$23,0),)</f>
        <v>7</v>
      </c>
      <c r="BC16" s="25" t="s">
        <v>105</v>
      </c>
      <c r="BD16" s="12">
        <v>6</v>
      </c>
      <c r="BE16" s="11" t="s">
        <v>203</v>
      </c>
      <c r="BO16" s="3"/>
      <c r="BQ16" s="3"/>
      <c r="BR16" s="3"/>
      <c r="BV16" s="25" t="s">
        <v>105</v>
      </c>
      <c r="BW16" s="12">
        <v>7</v>
      </c>
    </row>
    <row r="17" spans="1:75" ht="15">
      <c r="A17" s="21" t="s">
        <v>197</v>
      </c>
      <c r="B17" s="17">
        <v>1403000</v>
      </c>
      <c r="C17"/>
      <c r="D17"/>
      <c r="I17" s="18" t="s">
        <v>233</v>
      </c>
      <c r="J17" s="10">
        <v>1542000</v>
      </c>
      <c r="K17" s="25" t="s">
        <v>106</v>
      </c>
      <c r="L17" s="11" cm="1">
        <f t="array" ref="L17">INDEX($O$2:$O$23,MATCH(K17,$N$2:$N$23,0),)</f>
        <v>7</v>
      </c>
      <c r="M17" s="26"/>
      <c r="N17" s="25" t="s">
        <v>171</v>
      </c>
      <c r="O17" s="27">
        <v>6</v>
      </c>
      <c r="P17" s="25" t="s">
        <v>203</v>
      </c>
      <c r="Z17" s="15">
        <f>20%-0.0001</f>
        <v>0.19990000000000002</v>
      </c>
      <c r="AA17" s="3">
        <v>4</v>
      </c>
      <c r="AB17" s="3" t="s">
        <v>279</v>
      </c>
      <c r="AD17" s="15"/>
      <c r="AH17" s="15"/>
      <c r="AP17" s="15">
        <v>0.25</v>
      </c>
      <c r="AQ17" s="3">
        <v>4</v>
      </c>
      <c r="AR17" s="14" t="s">
        <v>55</v>
      </c>
      <c r="AX17" s="11" t="s">
        <v>11</v>
      </c>
      <c r="AY17" s="10">
        <v>8562000</v>
      </c>
      <c r="AZ17" s="16" t="s">
        <v>105</v>
      </c>
      <c r="BA17" s="11" cm="1">
        <f t="array" ref="BA17">INDEX($BD$2:$BD$23,MATCH(AZ17,$BC$2:$BC$23,0),)</f>
        <v>6</v>
      </c>
      <c r="BC17" s="25" t="s">
        <v>171</v>
      </c>
      <c r="BD17" s="27">
        <v>6</v>
      </c>
      <c r="BE17" s="25" t="s">
        <v>203</v>
      </c>
      <c r="BO17" s="3"/>
      <c r="BQ17" s="3"/>
      <c r="BR17" s="3"/>
      <c r="BV17" s="25" t="s">
        <v>171</v>
      </c>
      <c r="BW17" s="12">
        <v>6</v>
      </c>
    </row>
    <row r="18" spans="1:75" ht="15">
      <c r="A18" s="7" t="s">
        <v>198</v>
      </c>
      <c r="B18" s="17">
        <v>2209000</v>
      </c>
      <c r="C18"/>
      <c r="D18"/>
      <c r="I18" s="18" t="s">
        <v>234</v>
      </c>
      <c r="J18" s="8">
        <v>47964000</v>
      </c>
      <c r="K18" s="11" t="s">
        <v>171</v>
      </c>
      <c r="L18" s="11" cm="1">
        <f t="array" ref="L18">INDEX($O$2:$O$23,MATCH(K18,$N$2:$N$23,0),)</f>
        <v>6</v>
      </c>
      <c r="N18" s="11" t="s">
        <v>106</v>
      </c>
      <c r="O18" s="12">
        <v>7</v>
      </c>
      <c r="P18" s="11" t="s">
        <v>113</v>
      </c>
      <c r="Z18" s="15">
        <v>0.3</v>
      </c>
      <c r="AA18" s="3">
        <v>5</v>
      </c>
      <c r="AB18" s="3" t="s">
        <v>203</v>
      </c>
      <c r="AD18" s="15"/>
      <c r="AH18" s="15"/>
      <c r="AP18" s="15">
        <v>0.15</v>
      </c>
      <c r="AQ18" s="3">
        <v>5</v>
      </c>
      <c r="AR18" s="14" t="s">
        <v>279</v>
      </c>
      <c r="AX18" s="11" t="s">
        <v>17</v>
      </c>
      <c r="AY18" s="10">
        <v>62787000</v>
      </c>
      <c r="AZ18" s="16" t="s">
        <v>109</v>
      </c>
      <c r="BA18" s="11" cm="1">
        <f t="array" ref="BA18">INDEX($BD$2:$BD$23,MATCH(AZ18,$BC$2:$BC$23,0),)</f>
        <v>5</v>
      </c>
      <c r="BC18" s="11" t="s">
        <v>106</v>
      </c>
      <c r="BD18" s="12">
        <v>7</v>
      </c>
      <c r="BE18" s="11" t="s">
        <v>113</v>
      </c>
      <c r="BO18" s="3"/>
      <c r="BQ18" s="3"/>
      <c r="BR18" s="3"/>
      <c r="BV18" s="11" t="s">
        <v>106</v>
      </c>
      <c r="BW18" s="12">
        <v>5</v>
      </c>
    </row>
    <row r="19" spans="1:75" ht="15">
      <c r="A19" s="18" t="s">
        <v>273</v>
      </c>
      <c r="B19" s="24">
        <f>SUM(B17:B18)</f>
        <v>3612000</v>
      </c>
      <c r="C19"/>
      <c r="D19"/>
      <c r="I19" s="18" t="s">
        <v>235</v>
      </c>
      <c r="J19" s="8">
        <v>53502000</v>
      </c>
      <c r="K19" s="11" t="s">
        <v>212</v>
      </c>
      <c r="L19" s="11" cm="1">
        <f t="array" ref="L19">INDEX($O$2:$O$23,MATCH(K19,$N$2:$N$23,0),)</f>
        <v>8</v>
      </c>
      <c r="N19" s="11" t="s">
        <v>172</v>
      </c>
      <c r="O19" s="12">
        <v>7</v>
      </c>
      <c r="P19" s="11" t="s">
        <v>113</v>
      </c>
      <c r="Z19" s="15">
        <v>0.5</v>
      </c>
      <c r="AA19" s="3">
        <v>6</v>
      </c>
      <c r="AB19" s="3" t="s">
        <v>113</v>
      </c>
      <c r="AD19" s="15"/>
      <c r="AH19" s="15"/>
      <c r="AP19" s="15">
        <v>0.1</v>
      </c>
      <c r="AQ19" s="3">
        <v>6</v>
      </c>
      <c r="AR19" s="14" t="s">
        <v>203</v>
      </c>
      <c r="AX19" s="11" t="s">
        <v>16</v>
      </c>
      <c r="AY19" s="10">
        <v>6093000</v>
      </c>
      <c r="AZ19" s="16" t="s">
        <v>106</v>
      </c>
      <c r="BA19" s="11" cm="1">
        <f t="array" ref="BA19">INDEX($BD$2:$BD$23,MATCH(AZ19,$BC$2:$BC$23,0),)</f>
        <v>7</v>
      </c>
      <c r="BC19" s="11" t="s">
        <v>172</v>
      </c>
      <c r="BD19" s="12">
        <v>7</v>
      </c>
      <c r="BE19" s="11" t="s">
        <v>113</v>
      </c>
      <c r="BO19" s="3"/>
      <c r="BQ19" s="3"/>
      <c r="BR19" s="3"/>
      <c r="BV19" s="11" t="s">
        <v>172</v>
      </c>
      <c r="BW19" s="12">
        <v>4</v>
      </c>
    </row>
    <row r="20" spans="1:75" ht="15">
      <c r="A20" s="7" t="s">
        <v>77</v>
      </c>
      <c r="B20" s="17">
        <v>227300000</v>
      </c>
      <c r="C20"/>
      <c r="D20"/>
      <c r="I20" s="18" t="s">
        <v>236</v>
      </c>
      <c r="J20" s="8">
        <v>5638000</v>
      </c>
      <c r="K20" s="11" t="s">
        <v>212</v>
      </c>
      <c r="L20" s="11" cm="1">
        <f t="array" ref="L20">INDEX($O$2:$O$23,MATCH(K20,$N$2:$N$23,0),)</f>
        <v>8</v>
      </c>
      <c r="N20" s="11" t="s">
        <v>173</v>
      </c>
      <c r="O20" s="12">
        <v>7</v>
      </c>
      <c r="P20" s="11" t="s">
        <v>113</v>
      </c>
      <c r="Z20" s="15">
        <v>1</v>
      </c>
      <c r="AA20" s="3">
        <v>7</v>
      </c>
      <c r="AB20" s="3" t="s">
        <v>174</v>
      </c>
      <c r="AD20" s="15"/>
      <c r="AH20" s="15"/>
      <c r="AP20" s="15">
        <v>0.05</v>
      </c>
      <c r="AQ20" s="3">
        <v>7</v>
      </c>
      <c r="AR20" s="14" t="s">
        <v>113</v>
      </c>
      <c r="AX20" s="28" t="s">
        <v>347</v>
      </c>
      <c r="AY20" s="29">
        <f>SUM(AY2:AY19)</f>
        <v>3999271000</v>
      </c>
      <c r="AZ20" s="28"/>
      <c r="BA20" s="28"/>
      <c r="BC20" s="11" t="s">
        <v>173</v>
      </c>
      <c r="BD20" s="12">
        <v>7</v>
      </c>
      <c r="BE20" s="11" t="s">
        <v>113</v>
      </c>
      <c r="BO20" s="3"/>
      <c r="BQ20" s="3"/>
      <c r="BR20" s="3"/>
      <c r="BV20" s="11" t="s">
        <v>173</v>
      </c>
      <c r="BW20" s="12">
        <v>3</v>
      </c>
    </row>
    <row r="21" spans="1:75" ht="15">
      <c r="A21" s="7" t="s">
        <v>180</v>
      </c>
      <c r="B21" s="30">
        <v>31068000</v>
      </c>
      <c r="C21"/>
      <c r="D21"/>
      <c r="I21" s="18" t="s">
        <v>99</v>
      </c>
      <c r="J21" s="8">
        <v>69423000</v>
      </c>
      <c r="K21" s="11" t="s">
        <v>212</v>
      </c>
      <c r="L21" s="11" cm="1">
        <f t="array" ref="L21">INDEX($O$2:$O$23,MATCH(K21,$N$2:$N$23,0),)</f>
        <v>8</v>
      </c>
      <c r="N21" s="11" t="s">
        <v>174</v>
      </c>
      <c r="O21" s="12">
        <v>8</v>
      </c>
      <c r="P21" s="11" t="s">
        <v>174</v>
      </c>
      <c r="AP21" s="15">
        <v>0</v>
      </c>
      <c r="AQ21" s="3">
        <v>8</v>
      </c>
      <c r="AR21" s="14" t="s">
        <v>174</v>
      </c>
      <c r="BC21" s="11" t="s">
        <v>174</v>
      </c>
      <c r="BD21" s="12">
        <v>8</v>
      </c>
      <c r="BE21" s="11" t="s">
        <v>174</v>
      </c>
      <c r="BO21" s="3"/>
      <c r="BQ21" s="3"/>
      <c r="BR21" s="3"/>
      <c r="BV21" s="11" t="s">
        <v>174</v>
      </c>
      <c r="BW21" s="12">
        <v>2</v>
      </c>
    </row>
    <row r="22" spans="1:75" ht="15">
      <c r="A22" s="7" t="s">
        <v>181</v>
      </c>
      <c r="B22" s="17">
        <v>25950000</v>
      </c>
      <c r="C22"/>
      <c r="D22"/>
      <c r="I22" s="18" t="s">
        <v>237</v>
      </c>
      <c r="J22" s="8">
        <v>58169000</v>
      </c>
      <c r="K22" s="11" t="s">
        <v>110</v>
      </c>
      <c r="L22" s="11" cm="1">
        <f t="array" ref="L22">INDEX($O$2:$O$23,MATCH(K22,$N$2:$N$23,0),)</f>
        <v>6</v>
      </c>
      <c r="N22" s="11" t="s">
        <v>175</v>
      </c>
      <c r="O22" s="12">
        <v>8</v>
      </c>
      <c r="P22" s="11" t="s">
        <v>174</v>
      </c>
      <c r="BC22" s="11" t="s">
        <v>175</v>
      </c>
      <c r="BD22" s="12">
        <v>8</v>
      </c>
      <c r="BE22" s="11" t="s">
        <v>174</v>
      </c>
      <c r="BO22" s="3"/>
      <c r="BQ22" s="3"/>
      <c r="BR22" s="3"/>
      <c r="BV22" s="11" t="s">
        <v>175</v>
      </c>
      <c r="BW22" s="12">
        <v>1</v>
      </c>
    </row>
    <row r="23" spans="1:75" ht="15">
      <c r="A23" s="21" t="s">
        <v>196</v>
      </c>
      <c r="B23" s="17">
        <v>1049000</v>
      </c>
      <c r="C23"/>
      <c r="D23"/>
      <c r="I23" s="18" t="s">
        <v>238</v>
      </c>
      <c r="J23" s="8">
        <v>37666000</v>
      </c>
      <c r="K23" s="11" t="s">
        <v>105</v>
      </c>
      <c r="L23" s="11" cm="1">
        <f t="array" ref="L23">INDEX($O$2:$O$23,MATCH(K23,$N$2:$N$23,0),)</f>
        <v>6</v>
      </c>
      <c r="N23" s="11" t="s">
        <v>212</v>
      </c>
      <c r="O23" s="12">
        <v>8</v>
      </c>
      <c r="P23" s="11" t="s">
        <v>174</v>
      </c>
      <c r="AY23" s="14"/>
      <c r="AZ23" s="31"/>
      <c r="BC23" s="11" t="s">
        <v>212</v>
      </c>
      <c r="BD23" s="12">
        <v>8</v>
      </c>
      <c r="BE23" s="11" t="s">
        <v>174</v>
      </c>
      <c r="BO23" s="3"/>
      <c r="BQ23" s="3"/>
      <c r="BR23" s="3"/>
      <c r="BV23" s="11" t="s">
        <v>212</v>
      </c>
      <c r="BW23" s="12">
        <v>1</v>
      </c>
    </row>
    <row r="24" spans="1:75" ht="15">
      <c r="A24" s="7" t="s">
        <v>79</v>
      </c>
      <c r="B24" s="17">
        <v>716175000</v>
      </c>
      <c r="C24"/>
      <c r="D24"/>
      <c r="I24" s="18" t="s">
        <v>239</v>
      </c>
      <c r="J24" s="8">
        <v>19093000</v>
      </c>
      <c r="K24" s="11" t="s">
        <v>212</v>
      </c>
      <c r="L24" s="11" cm="1">
        <f t="array" ref="L24">INDEX($O$2:$O$23,MATCH(K24,$N$2:$N$23,0),)</f>
        <v>8</v>
      </c>
      <c r="AY24" s="14"/>
      <c r="AZ24" s="31"/>
      <c r="BL24" s="3"/>
      <c r="BM24" s="3"/>
      <c r="BO24" s="3"/>
      <c r="BQ24" s="3"/>
      <c r="BR24" s="3"/>
    </row>
    <row r="25" spans="1:75" ht="15">
      <c r="A25" s="18" t="s">
        <v>352</v>
      </c>
      <c r="B25" s="29">
        <f>B8+B9+B14</f>
        <v>2780928000</v>
      </c>
      <c r="C25"/>
      <c r="D25"/>
      <c r="I25" s="18" t="s">
        <v>124</v>
      </c>
      <c r="J25" s="32">
        <v>39999000</v>
      </c>
      <c r="K25" s="11" t="s">
        <v>105</v>
      </c>
      <c r="L25" s="11" cm="1">
        <f t="array" ref="L25">INDEX($O$2:$O$23,MATCH(K25,$N$2:$N$23,0),)</f>
        <v>6</v>
      </c>
      <c r="AY25" s="14"/>
      <c r="AZ25" s="31"/>
      <c r="BL25" s="3"/>
      <c r="BM25" s="3"/>
      <c r="BO25" s="3"/>
      <c r="BQ25" s="3"/>
      <c r="BR25" s="3"/>
    </row>
    <row r="26" spans="1:75" ht="15">
      <c r="A26" s="7" t="s">
        <v>358</v>
      </c>
      <c r="B26" s="17">
        <v>201498000</v>
      </c>
      <c r="C26"/>
      <c r="D26"/>
      <c r="I26" s="18" t="s">
        <v>125</v>
      </c>
      <c r="J26" s="32">
        <v>39299000</v>
      </c>
      <c r="K26" s="11" t="s">
        <v>171</v>
      </c>
      <c r="L26" s="11" cm="1">
        <f t="array" ref="L26">INDEX($O$2:$O$23,MATCH(K26,$N$2:$N$23,0),)</f>
        <v>6</v>
      </c>
      <c r="P26" s="14"/>
      <c r="Q26" s="14"/>
      <c r="AY26" s="14"/>
      <c r="AZ26" s="31"/>
      <c r="BL26" s="3"/>
      <c r="BM26" s="3"/>
      <c r="BO26" s="3"/>
      <c r="BQ26" s="3"/>
      <c r="BR26" s="3"/>
    </row>
    <row r="27" spans="1:75" ht="15">
      <c r="A27" s="7" t="s">
        <v>359</v>
      </c>
      <c r="B27" s="17">
        <v>979000</v>
      </c>
      <c r="C27"/>
      <c r="D27"/>
      <c r="I27" s="18" t="s">
        <v>126</v>
      </c>
      <c r="J27" s="32">
        <v>56638000</v>
      </c>
      <c r="K27" s="11" t="s">
        <v>106</v>
      </c>
      <c r="L27" s="11" cm="1">
        <f t="array" ref="L27">INDEX($O$2:$O$23,MATCH(K27,$N$2:$N$23,0),)</f>
        <v>7</v>
      </c>
      <c r="P27" s="14"/>
      <c r="Q27" s="33"/>
      <c r="R27" s="34"/>
      <c r="S27" s="34"/>
      <c r="T27" s="34"/>
      <c r="U27" s="34"/>
      <c r="V27" s="34"/>
      <c r="AY27" s="14"/>
      <c r="AZ27" s="31"/>
    </row>
    <row r="28" spans="1:75" ht="15">
      <c r="A28" s="7" t="s">
        <v>360</v>
      </c>
      <c r="B28" s="17">
        <v>8207000</v>
      </c>
      <c r="C28"/>
      <c r="D28"/>
      <c r="I28" s="18" t="s">
        <v>127</v>
      </c>
      <c r="J28" s="32">
        <v>1680000</v>
      </c>
      <c r="K28" s="11" t="s">
        <v>167</v>
      </c>
      <c r="L28" s="11" cm="1">
        <f t="array" ref="L28">INDEX($O$2:$O$23,MATCH(K28,$N$2:$N$23,0),)</f>
        <v>3</v>
      </c>
      <c r="AY28" s="14"/>
      <c r="AZ28" s="31"/>
    </row>
    <row r="29" spans="1:75" ht="15">
      <c r="A29" s="7" t="s">
        <v>361</v>
      </c>
      <c r="B29" s="17">
        <v>1023000</v>
      </c>
      <c r="C29"/>
      <c r="D29"/>
      <c r="I29" s="18" t="s">
        <v>98</v>
      </c>
      <c r="J29" s="32">
        <v>66165000</v>
      </c>
      <c r="K29" s="11" t="s">
        <v>106</v>
      </c>
      <c r="L29" s="11" cm="1">
        <f t="array" ref="L29">INDEX($O$2:$O$23,MATCH(K29,$N$2:$N$23,0),)</f>
        <v>7</v>
      </c>
      <c r="AY29" s="14"/>
      <c r="AZ29" s="31"/>
    </row>
    <row r="30" spans="1:75" ht="15">
      <c r="A30" s="7" t="s">
        <v>53</v>
      </c>
      <c r="B30" s="17">
        <v>0</v>
      </c>
      <c r="C30"/>
      <c r="D30"/>
      <c r="I30" s="18" t="s">
        <v>95</v>
      </c>
      <c r="J30" s="32">
        <v>96092000</v>
      </c>
      <c r="K30" s="11" t="s">
        <v>172</v>
      </c>
      <c r="L30" s="11" cm="1">
        <f t="array" ref="L30">INDEX($O$2:$O$23,MATCH(K30,$N$2:$N$23,0),)</f>
        <v>7</v>
      </c>
      <c r="AY30" s="14"/>
      <c r="AZ30" s="31"/>
    </row>
    <row r="31" spans="1:75" ht="15">
      <c r="I31" s="18" t="s">
        <v>128</v>
      </c>
      <c r="J31" s="32">
        <v>7850000</v>
      </c>
      <c r="K31" s="11" t="s">
        <v>170</v>
      </c>
      <c r="L31" s="11" cm="1">
        <f t="array" ref="L31">INDEX($O$2:$O$23,MATCH(K31,$N$2:$N$23,0),)</f>
        <v>5</v>
      </c>
      <c r="AY31" s="14"/>
      <c r="AZ31" s="31"/>
    </row>
    <row r="32" spans="1:75" ht="15">
      <c r="I32" s="18" t="s">
        <v>129</v>
      </c>
      <c r="J32" s="32">
        <v>5882000</v>
      </c>
      <c r="K32" s="11" t="s">
        <v>105</v>
      </c>
      <c r="L32" s="11" cm="1">
        <f t="array" ref="L32">INDEX($O$2:$O$23,MATCH(K32,$N$2:$N$23,0),)</f>
        <v>6</v>
      </c>
      <c r="AY32" s="14"/>
      <c r="AZ32" s="31"/>
    </row>
    <row r="33" spans="1:52" ht="15">
      <c r="A33" s="1" t="s">
        <v>334</v>
      </c>
      <c r="B33" s="2" t="s">
        <v>373</v>
      </c>
      <c r="C33"/>
      <c r="D33"/>
      <c r="I33" s="18" t="s">
        <v>118</v>
      </c>
      <c r="J33" s="32">
        <v>62561000</v>
      </c>
      <c r="K33" s="11" t="s">
        <v>171</v>
      </c>
      <c r="L33" s="11" cm="1">
        <f t="array" ref="L33">INDEX($O$2:$O$23,MATCH(K33,$N$2:$N$23,0),)</f>
        <v>6</v>
      </c>
      <c r="AY33" s="14"/>
      <c r="AZ33" s="31"/>
    </row>
    <row r="34" spans="1:52" ht="15">
      <c r="A34" s="7" t="s">
        <v>335</v>
      </c>
      <c r="B34" s="8">
        <v>246632000</v>
      </c>
      <c r="C34"/>
      <c r="D34"/>
      <c r="I34" s="18" t="s">
        <v>100</v>
      </c>
      <c r="J34" s="32">
        <v>71129000</v>
      </c>
      <c r="K34" s="11" t="s">
        <v>105</v>
      </c>
      <c r="L34" s="11" cm="1">
        <f t="array" ref="L34">INDEX($O$2:$O$23,MATCH(K34,$N$2:$N$23,0),)</f>
        <v>6</v>
      </c>
      <c r="AY34" s="14"/>
      <c r="AZ34" s="31"/>
    </row>
    <row r="35" spans="1:52" ht="15">
      <c r="A35" s="7" t="s">
        <v>336</v>
      </c>
      <c r="B35" s="17">
        <v>907991000</v>
      </c>
      <c r="C35"/>
      <c r="D35"/>
      <c r="I35" s="18" t="s">
        <v>94</v>
      </c>
      <c r="J35" s="32">
        <v>118914000</v>
      </c>
      <c r="K35" s="11" t="s">
        <v>110</v>
      </c>
      <c r="L35" s="11" cm="1">
        <f t="array" ref="L35">INDEX($O$2:$O$23,MATCH(K35,$N$2:$N$23,0),)</f>
        <v>6</v>
      </c>
      <c r="AY35" s="14"/>
      <c r="AZ35" s="31"/>
    </row>
    <row r="36" spans="1:52" ht="15">
      <c r="A36" s="7" t="s">
        <v>337</v>
      </c>
      <c r="B36" s="17">
        <v>193803000</v>
      </c>
      <c r="C36" s="141"/>
      <c r="D36" s="141"/>
      <c r="I36" s="18" t="s">
        <v>130</v>
      </c>
      <c r="J36" s="32">
        <v>19620000</v>
      </c>
      <c r="K36" s="11" t="s">
        <v>112</v>
      </c>
      <c r="L36" s="11" cm="1">
        <f t="array" ref="L36">INDEX($O$2:$O$23,MATCH(K36,$N$2:$N$23,0),)</f>
        <v>6</v>
      </c>
      <c r="AY36" s="14"/>
      <c r="AZ36" s="31"/>
    </row>
    <row r="37" spans="1:52" ht="15">
      <c r="A37" s="7" t="s">
        <v>338</v>
      </c>
      <c r="B37" s="17">
        <v>165523000</v>
      </c>
      <c r="C37" s="141"/>
      <c r="D37" s="141"/>
      <c r="I37" s="18" t="s">
        <v>131</v>
      </c>
      <c r="J37" s="32">
        <v>53839000</v>
      </c>
      <c r="K37" s="11" t="s">
        <v>106</v>
      </c>
      <c r="L37" s="11" cm="1">
        <f t="array" ref="L37">INDEX($O$2:$O$23,MATCH(K37,$N$2:$N$23,0),)</f>
        <v>7</v>
      </c>
      <c r="AY37" s="14"/>
      <c r="AZ37" s="31"/>
    </row>
    <row r="38" spans="1:52" ht="15">
      <c r="A38" s="7" t="s">
        <v>339</v>
      </c>
      <c r="B38" s="17">
        <v>173500000</v>
      </c>
      <c r="C38" s="141"/>
      <c r="D38" s="141"/>
      <c r="I38" s="18" t="s">
        <v>132</v>
      </c>
      <c r="J38" s="32">
        <v>10796000</v>
      </c>
      <c r="K38" s="16" t="s">
        <v>212</v>
      </c>
      <c r="L38" s="11" cm="1">
        <f t="array" ref="L38">INDEX($O$2:$O$23,MATCH(K38,$N$2:$N$23,0),)</f>
        <v>8</v>
      </c>
      <c r="AY38" s="14"/>
      <c r="AZ38" s="31"/>
    </row>
    <row r="39" spans="1:52" ht="15">
      <c r="I39" s="18" t="s">
        <v>133</v>
      </c>
      <c r="J39" s="32">
        <v>24471000</v>
      </c>
      <c r="K39" s="11" t="s">
        <v>171</v>
      </c>
      <c r="L39" s="11" cm="1">
        <f t="array" ref="L39">INDEX($O$2:$O$23,MATCH(K39,$N$2:$N$23,0),)</f>
        <v>6</v>
      </c>
      <c r="AY39" s="14"/>
      <c r="AZ39" s="31"/>
    </row>
    <row r="40" spans="1:52" ht="15">
      <c r="A40" s="1" t="s">
        <v>370</v>
      </c>
      <c r="B40" s="2" t="s">
        <v>369</v>
      </c>
      <c r="C40" s="2" t="s">
        <v>455</v>
      </c>
      <c r="D40" s="2" t="s">
        <v>456</v>
      </c>
      <c r="I40" s="18" t="s">
        <v>97</v>
      </c>
      <c r="J40" s="32">
        <v>78226000</v>
      </c>
      <c r="K40" s="11" t="s">
        <v>105</v>
      </c>
      <c r="L40" s="11" cm="1">
        <f t="array" ref="L40">INDEX($O$2:$O$23,MATCH(K40,$N$2:$N$23,0),)</f>
        <v>6</v>
      </c>
      <c r="AY40" s="14"/>
      <c r="AZ40" s="31"/>
    </row>
    <row r="41" spans="1:52" ht="15">
      <c r="A41" s="35">
        <v>2019</v>
      </c>
      <c r="B41" s="8">
        <v>7000</v>
      </c>
      <c r="C41" s="8">
        <v>140000000</v>
      </c>
      <c r="D41" s="8">
        <f>C41-B41</f>
        <v>139993000</v>
      </c>
      <c r="I41" s="18" t="s">
        <v>134</v>
      </c>
      <c r="J41" s="32">
        <v>26087000</v>
      </c>
      <c r="K41" s="11" t="s">
        <v>171</v>
      </c>
      <c r="L41" s="11" cm="1">
        <f t="array" ref="L41">INDEX($O$2:$O$23,MATCH(K41,$N$2:$N$23,0),)</f>
        <v>6</v>
      </c>
    </row>
    <row r="42" spans="1:52" ht="15">
      <c r="A42" s="35">
        <v>2018</v>
      </c>
      <c r="B42" s="17">
        <v>100292000</v>
      </c>
      <c r="C42" s="17">
        <v>140000000</v>
      </c>
      <c r="D42" s="17">
        <f t="shared" ref="D42:D45" si="0">C42-B42</f>
        <v>39708000</v>
      </c>
      <c r="I42" s="18" t="s">
        <v>117</v>
      </c>
      <c r="J42" s="32">
        <v>63263000</v>
      </c>
      <c r="K42" s="11" t="s">
        <v>105</v>
      </c>
      <c r="L42" s="11" cm="1">
        <f t="array" ref="L42">INDEX($O$2:$O$23,MATCH(K42,$N$2:$N$23,0),)</f>
        <v>6</v>
      </c>
    </row>
    <row r="43" spans="1:52" ht="15">
      <c r="A43" s="35">
        <v>2017</v>
      </c>
      <c r="B43" s="17">
        <v>101211000</v>
      </c>
      <c r="C43" s="17">
        <v>140000000</v>
      </c>
      <c r="D43" s="17">
        <f t="shared" si="0"/>
        <v>38789000</v>
      </c>
      <c r="I43" s="18" t="s">
        <v>135</v>
      </c>
      <c r="J43" s="32">
        <v>34245000</v>
      </c>
      <c r="K43" s="11" t="s">
        <v>174</v>
      </c>
      <c r="L43" s="11" cm="1">
        <f t="array" ref="L43">INDEX($O$2:$O$23,MATCH(K43,$N$2:$N$23,0),)</f>
        <v>8</v>
      </c>
    </row>
    <row r="44" spans="1:52" ht="15">
      <c r="A44" s="35">
        <v>2016</v>
      </c>
      <c r="B44" s="17">
        <v>101743000</v>
      </c>
      <c r="C44" s="17">
        <v>140000000</v>
      </c>
      <c r="D44" s="17">
        <f t="shared" si="0"/>
        <v>38257000</v>
      </c>
      <c r="I44" s="18" t="s">
        <v>136</v>
      </c>
      <c r="J44" s="32">
        <v>11198000</v>
      </c>
      <c r="K44" s="11" t="s">
        <v>106</v>
      </c>
      <c r="L44" s="11" cm="1">
        <f t="array" ref="L44">INDEX($O$2:$O$23,MATCH(K44,$N$2:$N$23,0),)</f>
        <v>7</v>
      </c>
    </row>
    <row r="45" spans="1:52" ht="15">
      <c r="A45" s="35">
        <v>2015</v>
      </c>
      <c r="B45" s="17">
        <v>120613000</v>
      </c>
      <c r="C45" s="17">
        <v>140000000</v>
      </c>
      <c r="D45" s="17">
        <f t="shared" si="0"/>
        <v>19387000</v>
      </c>
      <c r="I45" s="18" t="s">
        <v>7</v>
      </c>
      <c r="J45" s="32">
        <v>15034000</v>
      </c>
      <c r="K45" s="11" t="s">
        <v>106</v>
      </c>
      <c r="L45" s="11" cm="1">
        <f t="array" ref="L45">INDEX($O$2:$O$23,MATCH(K45,$N$2:$N$23,0),)</f>
        <v>7</v>
      </c>
    </row>
    <row r="46" spans="1:52">
      <c r="A46" s="35">
        <v>2014</v>
      </c>
      <c r="B46" s="8">
        <v>775405000</v>
      </c>
      <c r="C46" s="140"/>
      <c r="D46" s="140"/>
      <c r="I46" s="9" t="s">
        <v>137</v>
      </c>
      <c r="J46" s="32">
        <v>5000000</v>
      </c>
      <c r="K46" s="11" t="s">
        <v>167</v>
      </c>
      <c r="L46" s="11" cm="1">
        <f t="array" ref="L46">INDEX($O$2:$O$23,MATCH(K46,$N$2:$N$23,0),)</f>
        <v>3</v>
      </c>
    </row>
    <row r="47" spans="1:52">
      <c r="I47" s="9" t="s">
        <v>142</v>
      </c>
      <c r="J47" s="32">
        <v>0</v>
      </c>
      <c r="K47" s="11" t="s">
        <v>171</v>
      </c>
      <c r="L47" s="11" cm="1">
        <f t="array" ref="L47">INDEX($O$2:$O$23,MATCH(K47,$N$2:$N$23,0),)</f>
        <v>6</v>
      </c>
    </row>
    <row r="48" spans="1:52">
      <c r="I48" s="9" t="s">
        <v>138</v>
      </c>
      <c r="J48" s="32">
        <v>10283000</v>
      </c>
      <c r="K48" s="11" t="s">
        <v>109</v>
      </c>
      <c r="L48" s="11" cm="1">
        <f t="array" ref="L48">INDEX($O$2:$O$23,MATCH(K48,$N$2:$N$23,0),)</f>
        <v>4</v>
      </c>
    </row>
    <row r="49" spans="9:12">
      <c r="I49" s="9" t="s">
        <v>143</v>
      </c>
      <c r="J49" s="32">
        <v>0</v>
      </c>
      <c r="K49" s="11" t="s">
        <v>166</v>
      </c>
      <c r="L49" s="11" cm="1">
        <f t="array" ref="L49">INDEX($O$2:$O$23,MATCH(K49,$N$2:$N$23,0),)</f>
        <v>3</v>
      </c>
    </row>
    <row r="50" spans="9:12">
      <c r="I50" s="9" t="s">
        <v>139</v>
      </c>
      <c r="J50" s="32">
        <v>10833000</v>
      </c>
      <c r="K50" s="11" t="s">
        <v>112</v>
      </c>
      <c r="L50" s="11" cm="1">
        <f t="array" ref="L50">INDEX($O$2:$O$23,MATCH(K50,$N$2:$N$23,0),)</f>
        <v>6</v>
      </c>
    </row>
    <row r="51" spans="9:12">
      <c r="I51" s="9" t="s">
        <v>140</v>
      </c>
      <c r="J51" s="32">
        <v>15000000</v>
      </c>
      <c r="K51" s="11" t="s">
        <v>106</v>
      </c>
      <c r="L51" s="11" cm="1">
        <f t="array" ref="L51">INDEX($O$2:$O$23,MATCH(K51,$N$2:$N$23,0),)</f>
        <v>7</v>
      </c>
    </row>
    <row r="52" spans="9:12">
      <c r="I52" s="9" t="s">
        <v>141</v>
      </c>
      <c r="J52" s="32">
        <v>15000000</v>
      </c>
      <c r="K52" s="11" t="s">
        <v>109</v>
      </c>
      <c r="L52" s="11" cm="1">
        <f t="array" ref="L52">INDEX($O$2:$O$23,MATCH(K52,$N$2:$N$23,0),)</f>
        <v>4</v>
      </c>
    </row>
    <row r="53" spans="9:12">
      <c r="I53" s="9" t="s">
        <v>144</v>
      </c>
      <c r="J53" s="32">
        <v>0</v>
      </c>
      <c r="K53" s="11" t="s">
        <v>106</v>
      </c>
      <c r="L53" s="11" cm="1">
        <f t="array" ref="L53">INDEX($O$2:$O$23,MATCH(K53,$N$2:$N$23,0),)</f>
        <v>7</v>
      </c>
    </row>
    <row r="54" spans="9:12">
      <c r="I54" s="9" t="s">
        <v>145</v>
      </c>
      <c r="J54" s="32">
        <v>1818000</v>
      </c>
      <c r="K54" s="11" t="s">
        <v>106</v>
      </c>
      <c r="L54" s="11" cm="1">
        <f t="array" ref="L54">INDEX($O$2:$O$23,MATCH(K54,$N$2:$N$23,0),)</f>
        <v>7</v>
      </c>
    </row>
    <row r="55" spans="9:12">
      <c r="I55" s="9" t="s">
        <v>146</v>
      </c>
      <c r="J55" s="32">
        <v>5625000</v>
      </c>
      <c r="K55" s="11" t="s">
        <v>106</v>
      </c>
      <c r="L55" s="11" cm="1">
        <f t="array" ref="L55">INDEX($O$2:$O$23,MATCH(K55,$N$2:$N$23,0),)</f>
        <v>7</v>
      </c>
    </row>
    <row r="56" spans="9:12">
      <c r="I56" s="9" t="s">
        <v>147</v>
      </c>
      <c r="J56" s="32">
        <v>15000000</v>
      </c>
      <c r="K56" s="11" t="s">
        <v>105</v>
      </c>
      <c r="L56" s="11" cm="1">
        <f t="array" ref="L56">INDEX($O$2:$O$23,MATCH(K56,$N$2:$N$23,0),)</f>
        <v>6</v>
      </c>
    </row>
    <row r="57" spans="9:12">
      <c r="I57" s="9" t="s">
        <v>148</v>
      </c>
      <c r="J57" s="32">
        <v>4100000</v>
      </c>
      <c r="K57" s="11" t="s">
        <v>106</v>
      </c>
      <c r="L57" s="11" cm="1">
        <f t="array" ref="L57">INDEX($O$2:$O$23,MATCH(K57,$N$2:$N$23,0),)</f>
        <v>7</v>
      </c>
    </row>
    <row r="58" spans="9:12">
      <c r="I58" s="9" t="s">
        <v>149</v>
      </c>
      <c r="J58" s="32">
        <v>3000000</v>
      </c>
      <c r="K58" s="11" t="s">
        <v>106</v>
      </c>
      <c r="L58" s="11" cm="1">
        <f t="array" ref="L58">INDEX($O$2:$O$23,MATCH(K58,$N$2:$N$23,0),)</f>
        <v>7</v>
      </c>
    </row>
    <row r="59" spans="9:12">
      <c r="I59" s="9" t="s">
        <v>150</v>
      </c>
      <c r="J59" s="32">
        <v>15000000</v>
      </c>
      <c r="K59" s="11" t="s">
        <v>106</v>
      </c>
      <c r="L59" s="11" cm="1">
        <f t="array" ref="L59">INDEX($O$2:$O$23,MATCH(K59,$N$2:$N$23,0),)</f>
        <v>7</v>
      </c>
    </row>
    <row r="60" spans="9:12">
      <c r="I60" s="9" t="s">
        <v>151</v>
      </c>
      <c r="J60" s="32">
        <v>0</v>
      </c>
      <c r="K60" s="11" t="s">
        <v>106</v>
      </c>
      <c r="L60" s="11" cm="1">
        <f t="array" ref="L60">INDEX($O$2:$O$23,MATCH(K60,$N$2:$N$23,0),)</f>
        <v>7</v>
      </c>
    </row>
    <row r="61" spans="9:12">
      <c r="I61" s="9" t="s">
        <v>152</v>
      </c>
      <c r="J61" s="32">
        <v>0</v>
      </c>
      <c r="K61" s="11" t="s">
        <v>106</v>
      </c>
      <c r="L61" s="11" cm="1">
        <f t="array" ref="L61">INDEX($O$2:$O$23,MATCH(K61,$N$2:$N$23,0),)</f>
        <v>7</v>
      </c>
    </row>
    <row r="62" spans="9:12">
      <c r="I62" s="9" t="s">
        <v>153</v>
      </c>
      <c r="J62" s="32">
        <v>2250000</v>
      </c>
      <c r="K62" s="11" t="s">
        <v>106</v>
      </c>
      <c r="L62" s="11" cm="1">
        <f t="array" ref="L62">INDEX($O$2:$O$23,MATCH(K62,$N$2:$N$23,0),)</f>
        <v>7</v>
      </c>
    </row>
    <row r="63" spans="9:12">
      <c r="I63" s="9" t="s">
        <v>154</v>
      </c>
      <c r="J63" s="32">
        <v>0</v>
      </c>
      <c r="K63" s="11" t="s">
        <v>106</v>
      </c>
      <c r="L63" s="11" cm="1">
        <f t="array" ref="L63">INDEX($O$2:$O$23,MATCH(K63,$N$2:$N$23,0),)</f>
        <v>7</v>
      </c>
    </row>
    <row r="64" spans="9:12">
      <c r="I64" s="9" t="s">
        <v>155</v>
      </c>
      <c r="J64" s="32">
        <v>0</v>
      </c>
      <c r="K64" s="11" t="s">
        <v>108</v>
      </c>
      <c r="L64" s="11" cm="1">
        <f t="array" ref="L64">INDEX($O$2:$O$23,MATCH(K64,$N$2:$N$23,0),)</f>
        <v>2</v>
      </c>
    </row>
    <row r="65" spans="9:12">
      <c r="I65" s="9" t="s">
        <v>156</v>
      </c>
      <c r="J65" s="32">
        <v>0</v>
      </c>
      <c r="K65" s="11" t="s">
        <v>106</v>
      </c>
      <c r="L65" s="11" cm="1">
        <f t="array" ref="L65">INDEX($O$2:$O$23,MATCH(K65,$N$2:$N$23,0),)</f>
        <v>7</v>
      </c>
    </row>
    <row r="66" spans="9:12">
      <c r="I66" s="9" t="s">
        <v>157</v>
      </c>
      <c r="J66" s="32">
        <v>0</v>
      </c>
      <c r="K66" s="11" t="s">
        <v>106</v>
      </c>
      <c r="L66" s="11" cm="1">
        <f t="array" ref="L66">INDEX($O$2:$O$23,MATCH(K66,$N$2:$N$23,0),)</f>
        <v>7</v>
      </c>
    </row>
    <row r="67" spans="9:12">
      <c r="I67" s="9" t="s">
        <v>158</v>
      </c>
      <c r="J67" s="32">
        <v>0</v>
      </c>
      <c r="K67" s="11" t="s">
        <v>172</v>
      </c>
      <c r="L67" s="11" cm="1">
        <f t="array" ref="L67">INDEX($O$2:$O$23,MATCH(K67,$N$2:$N$23,0),)</f>
        <v>7</v>
      </c>
    </row>
    <row r="68" spans="9:12">
      <c r="I68" s="9" t="s">
        <v>159</v>
      </c>
      <c r="J68" s="32">
        <v>0</v>
      </c>
      <c r="K68" s="11" t="s">
        <v>106</v>
      </c>
      <c r="L68" s="11" cm="1">
        <f t="array" ref="L68">INDEX($O$2:$O$23,MATCH(K68,$N$2:$N$23,0),)</f>
        <v>7</v>
      </c>
    </row>
    <row r="69" spans="9:12">
      <c r="I69" s="9" t="s">
        <v>160</v>
      </c>
      <c r="J69" s="32">
        <v>0</v>
      </c>
      <c r="K69" s="11" t="s">
        <v>171</v>
      </c>
      <c r="L69" s="11" cm="1">
        <f t="array" ref="L69">INDEX($O$2:$O$23,MATCH(K69,$N$2:$N$23,0),)</f>
        <v>6</v>
      </c>
    </row>
    <row r="70" spans="9:12">
      <c r="I70" s="9" t="s">
        <v>161</v>
      </c>
      <c r="J70" s="32">
        <v>0</v>
      </c>
      <c r="K70" s="11" t="s">
        <v>106</v>
      </c>
      <c r="L70" s="11" cm="1">
        <f t="array" ref="L70">INDEX($O$2:$O$23,MATCH(K70,$N$2:$N$23,0),)</f>
        <v>7</v>
      </c>
    </row>
    <row r="71" spans="9:12">
      <c r="I71" s="9" t="s">
        <v>162</v>
      </c>
      <c r="J71" s="32">
        <v>0</v>
      </c>
      <c r="K71" s="11" t="s">
        <v>106</v>
      </c>
      <c r="L71" s="11" cm="1">
        <f t="array" ref="L71">INDEX($O$2:$O$23,MATCH(K71,$N$2:$N$23,0),)</f>
        <v>7</v>
      </c>
    </row>
    <row r="72" spans="9:12" ht="15">
      <c r="I72" s="22" t="s">
        <v>176</v>
      </c>
      <c r="J72" s="36">
        <v>1860125000</v>
      </c>
      <c r="K72" s="11"/>
      <c r="L72" s="1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840EB-ABA1-4B3B-B8D1-3BA8D1537B83}">
  <sheetPr>
    <tabColor theme="4" tint="0.39997558519241921"/>
  </sheetPr>
  <dimension ref="A1:H35"/>
  <sheetViews>
    <sheetView showGridLines="0" zoomScale="60" zoomScaleNormal="60" workbookViewId="0">
      <selection sqref="A1:H1"/>
    </sheetView>
  </sheetViews>
  <sheetFormatPr baseColWidth="10" defaultColWidth="11.5" defaultRowHeight="14.25"/>
  <cols>
    <col min="1" max="1" width="96.75" style="3" bestFit="1" customWidth="1"/>
    <col min="2" max="2" width="18.75" style="14" bestFit="1" customWidth="1"/>
    <col min="3" max="3" width="16.125" style="14" customWidth="1"/>
    <col min="4" max="4" width="16.75" style="3" bestFit="1" customWidth="1"/>
    <col min="5" max="5" width="15" style="3" bestFit="1" customWidth="1"/>
    <col min="6" max="6" width="5.5" style="3" bestFit="1" customWidth="1"/>
    <col min="7" max="7" width="8.25" style="3" bestFit="1" customWidth="1"/>
    <col min="8" max="16384" width="11.5" style="3"/>
  </cols>
  <sheetData>
    <row r="1" spans="1:8" ht="18" customHeight="1" thickBot="1">
      <c r="A1" s="178" t="s">
        <v>121</v>
      </c>
      <c r="B1" s="179"/>
      <c r="C1" s="179"/>
      <c r="D1" s="179"/>
      <c r="E1" s="179"/>
      <c r="F1" s="179"/>
      <c r="G1" s="179"/>
      <c r="H1" s="180"/>
    </row>
    <row r="2" spans="1:8" ht="18" customHeight="1">
      <c r="A2" s="37" t="s">
        <v>346</v>
      </c>
      <c r="B2" s="38" t="s">
        <v>345</v>
      </c>
      <c r="C2" s="38" t="s">
        <v>122</v>
      </c>
      <c r="D2" s="38"/>
      <c r="E2" s="38"/>
      <c r="F2" s="38"/>
      <c r="G2" s="38"/>
      <c r="H2" s="38"/>
    </row>
    <row r="3" spans="1:8" ht="15">
      <c r="A3" s="1" t="s">
        <v>29</v>
      </c>
      <c r="B3" s="39">
        <v>0.2</v>
      </c>
      <c r="C3" s="2"/>
      <c r="D3" s="1"/>
      <c r="E3" s="1"/>
      <c r="F3" s="1"/>
      <c r="G3" s="1"/>
      <c r="H3" s="1"/>
    </row>
    <row r="4" spans="1:8" ht="15">
      <c r="A4" s="40" t="s">
        <v>115</v>
      </c>
      <c r="B4" s="41">
        <v>0.2</v>
      </c>
      <c r="C4" s="42" t="str" cm="1">
        <f t="array" ref="C4">INDEX('MOODY''S DATA'!$T$2:$T$9,MATCH(D4,'MOODY''S DATA'!$R$2:$R$9,1),)</f>
        <v>Aaa</v>
      </c>
      <c r="D4" s="43">
        <f>D5/D6</f>
        <v>0.64554055957365442</v>
      </c>
      <c r="E4" s="49" t="s">
        <v>467</v>
      </c>
      <c r="F4" s="40"/>
      <c r="G4" s="40"/>
      <c r="H4" s="40"/>
    </row>
    <row r="5" spans="1:8">
      <c r="A5" s="31" t="s">
        <v>30</v>
      </c>
      <c r="B5" s="44"/>
      <c r="C5" s="44"/>
      <c r="D5" s="34">
        <f>'MOODY''S DATA'!B25+'MOODY''S DATA'!B36+'MOODY''S DATA'!B37+'MOODY''S DATA'!B38</f>
        <v>3313754000</v>
      </c>
      <c r="E5" s="3" t="b">
        <f>D5='MOODY''S DATA'!B25+'MOODY''S DATA'!B36+'MOODY''S DATA'!B37+'MOODY''S DATA'!B38</f>
        <v>1</v>
      </c>
    </row>
    <row r="6" spans="1:8">
      <c r="A6" s="45" t="s">
        <v>341</v>
      </c>
      <c r="B6" s="46"/>
      <c r="C6" s="46"/>
      <c r="D6" s="34">
        <f>'MOODY''S DATA'!B2</f>
        <v>5133301000</v>
      </c>
      <c r="E6" s="3" t="b">
        <f>D6='MOODY''S DATA'!B2</f>
        <v>1</v>
      </c>
    </row>
    <row r="7" spans="1:8">
      <c r="A7" s="47" t="s">
        <v>342</v>
      </c>
      <c r="D7" s="14"/>
    </row>
    <row r="8" spans="1:8">
      <c r="A8" s="47" t="s">
        <v>343</v>
      </c>
      <c r="B8" s="48" t="s">
        <v>379</v>
      </c>
      <c r="C8" s="103">
        <v>0</v>
      </c>
      <c r="D8"/>
    </row>
    <row r="9" spans="1:8">
      <c r="A9" s="47" t="s">
        <v>344</v>
      </c>
      <c r="B9" s="48" t="s">
        <v>378</v>
      </c>
      <c r="C9" s="103">
        <v>0</v>
      </c>
      <c r="D9" s="14"/>
    </row>
    <row r="10" spans="1:8" ht="15">
      <c r="A10" s="1" t="s">
        <v>31</v>
      </c>
      <c r="B10" s="39">
        <v>0.1</v>
      </c>
      <c r="C10" s="2"/>
      <c r="D10" s="1"/>
      <c r="E10" s="1"/>
      <c r="F10" s="1"/>
      <c r="G10" s="1"/>
      <c r="H10" s="1"/>
    </row>
    <row r="11" spans="1:8" ht="15">
      <c r="A11" s="40" t="s">
        <v>177</v>
      </c>
      <c r="B11" s="49"/>
      <c r="C11" s="50" t="str" cm="1">
        <f t="array" ref="C11">INDEX('MOODY''S DATA'!$P$2:$P$23,MATCH(ROUNDUP(SUMPRODUCT('MOODY''S DATA'!J2:J71,'MOODY''S DATA'!L2:L71)/SUM('MOODY''S DATA'!J2:J71),0),'MOODY''S DATA'!$O$2:$O$23,0),)</f>
        <v>Caa</v>
      </c>
      <c r="D11" s="40"/>
      <c r="E11" s="40"/>
      <c r="F11" s="40"/>
      <c r="G11" s="40"/>
      <c r="H11" s="40"/>
    </row>
    <row r="12" spans="1:8" s="31" customFormat="1" ht="15">
      <c r="A12" s="51"/>
      <c r="B12" s="52"/>
      <c r="C12" s="52"/>
      <c r="D12" s="51"/>
      <c r="E12" s="51"/>
      <c r="F12" s="51"/>
      <c r="G12" s="51"/>
      <c r="H12" s="51"/>
    </row>
    <row r="13" spans="1:8" ht="15">
      <c r="A13" s="40" t="s">
        <v>34</v>
      </c>
      <c r="B13" s="49"/>
      <c r="C13" s="50" t="str" cm="1">
        <f t="array" ref="C13">INDEX('MOODY''S DATA'!$X$2:$X$5,MATCH('CAPITAL ADEQUACY'!$D$13,'MOODY''S DATA'!$V$2:$V$5,0),)</f>
        <v>A</v>
      </c>
      <c r="D13" s="53" t="s">
        <v>281</v>
      </c>
      <c r="E13" s="49" t="s">
        <v>467</v>
      </c>
      <c r="F13" s="40"/>
      <c r="G13" s="40"/>
      <c r="H13" s="40"/>
    </row>
    <row r="14" spans="1:8">
      <c r="A14" s="3" t="s">
        <v>27</v>
      </c>
      <c r="D14" s="54">
        <f>('MOODY''S DATA'!J3+'MOODY''S DATA'!J13+'MOODY''S DATA'!J6+'MOODY''S DATA'!J18+'MOODY''S DATA'!J19+'MOODY''S DATA'!J20+'MOODY''S DATA'!J21+'MOODY''S DATA'!J22+'MOODY''S DATA'!J24+'MOODY''S DATA'!J29+'MOODY''S DATA'!J32+'MOODY''S DATA'!J33+'MOODY''S DATA'!J35+'MOODY''S DATA'!J37+'MOODY''S DATA'!J41)/(SUM('MOODY''S DATA'!J2:J45))</f>
        <v>0.45448083787081384</v>
      </c>
      <c r="E14" s="181" t="b">
        <f>100%=SUM(D14:D18)</f>
        <v>1</v>
      </c>
      <c r="F14" s="55"/>
    </row>
    <row r="15" spans="1:8">
      <c r="A15" s="3" t="s">
        <v>28</v>
      </c>
      <c r="D15" s="20">
        <f>('MOODY''S DATA'!J2+'MOODY''S DATA'!J9+'MOODY''S DATA'!J7+'MOODY''S DATA'!J8+'MOODY''S DATA'!J11+'MOODY''S DATA'!J10+'MOODY''S DATA'!J14+'MOODY''S DATA'!J17+'MOODY''S DATA'!J38)/SUM('MOODY''S DATA'!J2:J45)</f>
        <v>0.10019143918562089</v>
      </c>
      <c r="E15" s="181"/>
      <c r="F15" s="56"/>
      <c r="G15" s="31"/>
    </row>
    <row r="16" spans="1:8">
      <c r="A16" s="3" t="s">
        <v>350</v>
      </c>
      <c r="D16" s="20">
        <f>('MOODY''S DATA'!J5+'MOODY''S DATA'!J12+'MOODY''S DATA'!J15+'MOODY''S DATA'!J16+'MOODY''S DATA'!J23+'MOODY''S DATA'!J26+'MOODY''S DATA'!J27+'MOODY''S DATA'!J28+'MOODY''S DATA'!J30+'MOODY''S DATA'!J34+'MOODY''S DATA'!J36+'MOODY''S DATA'!J40+'MOODY''S DATA'!J42+'MOODY''S DATA'!J43+'MOODY''S DATA'!J44)/SUM('MOODY''S DATA'!J2:J45)</f>
        <v>0.38507218236118951</v>
      </c>
      <c r="E16" s="181"/>
      <c r="F16" s="56"/>
      <c r="G16" s="31"/>
    </row>
    <row r="17" spans="1:8">
      <c r="A17" s="3" t="s">
        <v>351</v>
      </c>
      <c r="D17" s="20">
        <f>('MOODY''S DATA'!J4+'MOODY''S DATA'!J39+'MOODY''S DATA'!J25+'MOODY''S DATA'!J31)/SUM('MOODY''S DATA'!J2:J45)</f>
        <v>5.1699961757689435E-2</v>
      </c>
      <c r="E17" s="181"/>
      <c r="F17" s="31"/>
      <c r="G17" s="31"/>
    </row>
    <row r="18" spans="1:8" ht="15">
      <c r="A18" s="3" t="s">
        <v>7</v>
      </c>
      <c r="D18" s="20">
        <f>'MOODY''S DATA'!J45/SUM('MOODY''S DATA'!J2:J45)</f>
        <v>8.5555788246863222E-3</v>
      </c>
      <c r="E18" s="181"/>
      <c r="F18" s="51"/>
      <c r="G18" s="51"/>
    </row>
    <row r="19" spans="1:8" ht="15">
      <c r="F19" s="51"/>
      <c r="G19" s="51"/>
    </row>
    <row r="20" spans="1:8" ht="15">
      <c r="A20" s="40" t="s">
        <v>35</v>
      </c>
      <c r="B20" s="49"/>
      <c r="C20" s="50" t="str" cm="1">
        <f t="array" ref="C20">INDEX('MOODY''S DATA'!$AB$2:$AB$9,MATCH('CAPITAL ADEQUACY'!D21/'CAPITAL ADEQUACY'!D22,'MOODY''S DATA'!Z2:Z9,-1),)</f>
        <v>Caa</v>
      </c>
      <c r="D20" s="57">
        <f>D21/D22</f>
        <v>0.30802307718862193</v>
      </c>
      <c r="E20" s="57"/>
      <c r="F20" s="57"/>
      <c r="G20" s="57"/>
      <c r="H20" s="57"/>
    </row>
    <row r="21" spans="1:8">
      <c r="A21" s="3" t="s">
        <v>36</v>
      </c>
      <c r="D21" s="34">
        <f>'MOODY''S DATA'!B10+'MOODY''S DATA'!B13</f>
        <v>856590000</v>
      </c>
      <c r="E21" s="3" t="b">
        <f>D21='MOODY''S DATA'!B10+'MOODY''S DATA'!B13</f>
        <v>1</v>
      </c>
      <c r="F21" s="31"/>
      <c r="G21" s="31"/>
    </row>
    <row r="22" spans="1:8">
      <c r="A22" s="3" t="s">
        <v>37</v>
      </c>
      <c r="D22" s="34">
        <f>'MOODY''S DATA'!B25</f>
        <v>2780928000</v>
      </c>
      <c r="E22" s="3" t="b">
        <f>D22='MOODY''S DATA'!B8+'MOODY''S DATA'!B10+'MOODY''S DATA'!B13+'MOODY''S DATA'!B9</f>
        <v>1</v>
      </c>
      <c r="F22" s="31"/>
      <c r="G22" s="31"/>
    </row>
    <row r="23" spans="1:8">
      <c r="D23" s="34"/>
      <c r="E23" s="34"/>
      <c r="F23" s="31"/>
      <c r="G23" s="31"/>
    </row>
    <row r="24" spans="1:8" ht="15">
      <c r="A24" s="40" t="s">
        <v>0</v>
      </c>
      <c r="B24" s="49"/>
      <c r="C24" s="49"/>
      <c r="D24" s="40"/>
      <c r="E24" s="40"/>
      <c r="F24" s="57"/>
      <c r="G24" s="57"/>
      <c r="H24" s="57"/>
    </row>
    <row r="25" spans="1:8" ht="15">
      <c r="A25" s="3" t="s">
        <v>38</v>
      </c>
      <c r="C25" s="50" t="str" cm="1">
        <f t="array" ref="C25">+INDEX('MOODY''S DATA'!$AF$2:$AF$9,MATCH('MOODY''S DATA'!G2/D22,'MOODY''S DATA'!$AD$2:$AD$9,-1),)</f>
        <v>Aa</v>
      </c>
      <c r="D25" s="54">
        <f>'MOODY''S DATA'!G2/'MOODY''S DATA'!B25</f>
        <v>4.2760546119856392E-2</v>
      </c>
      <c r="E25" s="3" t="b">
        <f>D25&lt;D26</f>
        <v>1</v>
      </c>
      <c r="F25" s="51"/>
      <c r="G25" s="51"/>
    </row>
    <row r="26" spans="1:8" ht="15">
      <c r="A26" s="3" t="s">
        <v>39</v>
      </c>
      <c r="C26" s="50" t="str" cm="1">
        <f t="array" ref="C26">+INDEX('MOODY''S DATA'!AJ2:AJ9,MATCH('CAPITAL ADEQUACY'!D26,'MOODY''S DATA'!AH2:AH9,-1),)</f>
        <v>A</v>
      </c>
      <c r="D26" s="54">
        <f>'MOODY''S DATA'!G12/'MOODY''S DATA'!B25</f>
        <v>0.29976899797477674</v>
      </c>
      <c r="E26" s="3" t="b">
        <f>D26&lt;100%</f>
        <v>1</v>
      </c>
      <c r="F26" s="58"/>
      <c r="G26" s="58"/>
    </row>
    <row r="27" spans="1:8">
      <c r="D27" s="54"/>
      <c r="F27" s="58"/>
      <c r="G27" s="58"/>
    </row>
    <row r="28" spans="1:8">
      <c r="A28" s="47" t="s">
        <v>342</v>
      </c>
      <c r="D28" s="54"/>
      <c r="F28" s="58"/>
      <c r="G28" s="58"/>
    </row>
    <row r="29" spans="1:8">
      <c r="A29" s="47" t="s">
        <v>380</v>
      </c>
      <c r="B29" s="47" t="s">
        <v>381</v>
      </c>
      <c r="C29" s="103">
        <v>0</v>
      </c>
      <c r="D29" s="54"/>
      <c r="F29" s="58"/>
      <c r="G29" s="58"/>
    </row>
    <row r="30" spans="1:8" ht="15">
      <c r="A30" s="1" t="s">
        <v>40</v>
      </c>
      <c r="B30" s="39">
        <v>0.2</v>
      </c>
      <c r="C30" s="50" t="str" cm="1">
        <f t="array" ref="C30">INDEX('MOODY''S DATA'!AN2:AN9,MATCH('CAPITAL ADEQUACY'!D32/'CAPITAL ADEQUACY'!D33,'MOODY''S DATA'!AL2:AL9,-1),)</f>
        <v>Ba</v>
      </c>
      <c r="D30" s="1"/>
      <c r="E30" s="1"/>
      <c r="F30" s="1"/>
      <c r="G30" s="1"/>
      <c r="H30" s="1"/>
    </row>
    <row r="31" spans="1:8" ht="15">
      <c r="A31" s="40" t="s">
        <v>103</v>
      </c>
      <c r="B31" s="41">
        <v>0.2</v>
      </c>
      <c r="C31" s="49"/>
      <c r="D31" s="57">
        <f>D32/D33</f>
        <v>8.1735305624597257E-2</v>
      </c>
      <c r="E31" s="49" t="s">
        <v>467</v>
      </c>
      <c r="F31" s="57"/>
      <c r="G31" s="57"/>
      <c r="H31" s="57"/>
    </row>
    <row r="32" spans="1:8">
      <c r="A32" s="45" t="s">
        <v>103</v>
      </c>
      <c r="B32" s="59"/>
      <c r="C32" s="46"/>
      <c r="D32" s="34">
        <f>'MOODY''S DATA'!B20</f>
        <v>227300000</v>
      </c>
      <c r="E32" s="3" t="b">
        <f>D32='MOODY''S DATA'!B20</f>
        <v>1</v>
      </c>
    </row>
    <row r="33" spans="1:5">
      <c r="A33" s="3" t="s">
        <v>37</v>
      </c>
      <c r="D33" s="34">
        <f>'MOODY''S DATA'!B25</f>
        <v>2780928000</v>
      </c>
      <c r="E33" s="3" t="b">
        <f>D33='MOODY''S DATA'!B8+'MOODY''S DATA'!B10+'MOODY''S DATA'!B13+'MOODY''S DATA'!B9</f>
        <v>1</v>
      </c>
    </row>
    <row r="34" spans="1:5">
      <c r="A34" s="47" t="s">
        <v>356</v>
      </c>
      <c r="B34" s="48" t="s">
        <v>353</v>
      </c>
      <c r="C34" s="103">
        <v>0</v>
      </c>
    </row>
    <row r="35" spans="1:5">
      <c r="A35" s="47" t="s">
        <v>355</v>
      </c>
      <c r="B35" s="48" t="s">
        <v>354</v>
      </c>
      <c r="C35" s="103">
        <v>0</v>
      </c>
    </row>
  </sheetData>
  <mergeCells count="2">
    <mergeCell ref="A1:H1"/>
    <mergeCell ref="E14:E18"/>
  </mergeCells>
  <conditionalFormatting sqref="E14:E18">
    <cfRule type="cellIs" dxfId="31" priority="9" operator="equal">
      <formula>TRUE</formula>
    </cfRule>
    <cfRule type="cellIs" dxfId="30" priority="10" operator="equal">
      <formula>100%</formula>
    </cfRule>
  </conditionalFormatting>
  <conditionalFormatting sqref="E5">
    <cfRule type="cellIs" dxfId="29" priority="8" operator="equal">
      <formula>TRUE</formula>
    </cfRule>
  </conditionalFormatting>
  <conditionalFormatting sqref="E6">
    <cfRule type="cellIs" dxfId="28" priority="7" operator="equal">
      <formula>TRUE</formula>
    </cfRule>
  </conditionalFormatting>
  <conditionalFormatting sqref="E21">
    <cfRule type="cellIs" dxfId="27" priority="6" operator="equal">
      <formula>TRUE</formula>
    </cfRule>
  </conditionalFormatting>
  <conditionalFormatting sqref="E22">
    <cfRule type="cellIs" dxfId="26" priority="5" operator="equal">
      <formula>TRUE</formula>
    </cfRule>
  </conditionalFormatting>
  <conditionalFormatting sqref="E25">
    <cfRule type="cellIs" dxfId="25" priority="4" operator="equal">
      <formula>TRUE</formula>
    </cfRule>
  </conditionalFormatting>
  <conditionalFormatting sqref="E26">
    <cfRule type="cellIs" dxfId="24" priority="3" operator="equal">
      <formula>TRUE</formula>
    </cfRule>
  </conditionalFormatting>
  <conditionalFormatting sqref="E33">
    <cfRule type="cellIs" dxfId="23" priority="2" operator="equal">
      <formula>TRUE</formula>
    </cfRule>
  </conditionalFormatting>
  <conditionalFormatting sqref="E32">
    <cfRule type="cellIs" dxfId="22" priority="1" operator="equal">
      <formula>TRUE</formula>
    </cfRule>
  </conditionalFormatting>
  <dataValidations count="5">
    <dataValidation type="list" allowBlank="1" showInputMessage="1" showErrorMessage="1" sqref="D13" xr:uid="{D6013EB5-A119-425B-B7F5-AB6046746FC3}">
      <formula1>"Extremely Well,Very Well,Well,Somewhat"</formula1>
    </dataValidation>
    <dataValidation type="list" allowBlank="1" showInputMessage="1" showErrorMessage="1" sqref="C9" xr:uid="{183B6656-1617-43E8-9E6C-45CA1B01A194}">
      <formula1>"-1,+0,+1"</formula1>
    </dataValidation>
    <dataValidation type="list" allowBlank="1" showInputMessage="1" showErrorMessage="1" sqref="C29" xr:uid="{AD32C14B-A9D7-4985-9254-434975FFF050}">
      <formula1>"-2,-1,+0,+1,+2"</formula1>
    </dataValidation>
    <dataValidation type="list" allowBlank="1" showInputMessage="1" showErrorMessage="1" sqref="C8 C34" xr:uid="{99BC5DE9-4A04-414D-9EE8-568AA44FD250}">
      <formula1>"-3,-2,-1,+0,+1,+2,+3"</formula1>
    </dataValidation>
    <dataValidation type="list" allowBlank="1" showInputMessage="1" showErrorMessage="1" sqref="C35" xr:uid="{C7911025-CB93-422C-9294-044CC7AE69E7}">
      <formula1>"-3,-2,-1,+0"</formula1>
    </dataValidation>
  </dataValidations>
  <pageMargins left="0.7" right="0.7" top="0.75" bottom="0.75" header="0.3" footer="0.3"/>
  <pageSetup paperSize="9" orientation="portrait" verticalDpi="0" r:id="rId1"/>
  <ignoredErrors>
    <ignoredError sqref="D15:D17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C7E0-CDD1-4E65-A5FA-AB2F7AF87DB4}">
  <sheetPr>
    <tabColor theme="4" tint="0.39997558519241921"/>
    <pageSetUpPr fitToPage="1"/>
  </sheetPr>
  <dimension ref="A1:H50"/>
  <sheetViews>
    <sheetView showGridLines="0" zoomScale="60" zoomScaleNormal="60" workbookViewId="0">
      <selection sqref="A1:H1"/>
    </sheetView>
  </sheetViews>
  <sheetFormatPr baseColWidth="10" defaultColWidth="11.5" defaultRowHeight="14.25"/>
  <cols>
    <col min="1" max="1" width="77.75" style="3" customWidth="1"/>
    <col min="2" max="2" width="18.75" style="14" bestFit="1" customWidth="1"/>
    <col min="3" max="3" width="11.5" style="14" bestFit="1" customWidth="1"/>
    <col min="4" max="4" width="16.75" style="3" bestFit="1" customWidth="1"/>
    <col min="5" max="5" width="14.75" style="3" bestFit="1" customWidth="1"/>
    <col min="6" max="16384" width="11.5" style="3"/>
  </cols>
  <sheetData>
    <row r="1" spans="1:8" ht="15.75" thickBot="1">
      <c r="A1" s="178" t="s">
        <v>121</v>
      </c>
      <c r="B1" s="179"/>
      <c r="C1" s="179"/>
      <c r="D1" s="179"/>
      <c r="E1" s="179"/>
      <c r="F1" s="179"/>
      <c r="G1" s="179"/>
      <c r="H1" s="180"/>
    </row>
    <row r="2" spans="1:8" ht="18" customHeight="1">
      <c r="A2" s="37" t="s">
        <v>346</v>
      </c>
      <c r="B2" s="38" t="s">
        <v>345</v>
      </c>
      <c r="C2" s="38" t="s">
        <v>122</v>
      </c>
      <c r="D2" s="38"/>
      <c r="E2" s="38"/>
      <c r="F2" s="38"/>
      <c r="G2" s="38"/>
      <c r="H2" s="38"/>
    </row>
    <row r="3" spans="1:8" ht="15">
      <c r="A3" s="1" t="s">
        <v>6</v>
      </c>
      <c r="B3" s="2" t="s">
        <v>357</v>
      </c>
      <c r="C3" s="2"/>
      <c r="D3" s="1"/>
      <c r="E3" s="1"/>
      <c r="F3" s="1"/>
      <c r="G3" s="1"/>
      <c r="H3" s="1"/>
    </row>
    <row r="4" spans="1:8" ht="15">
      <c r="A4" s="40" t="s">
        <v>5</v>
      </c>
      <c r="B4" s="61"/>
      <c r="C4" s="50" t="str" cm="1">
        <f t="array" ref="C4">+INDEX('MOODY''S DATA'!AR2:AR10,MATCH('LIQUIDITY AND FUNDING'!D5/'LIQUIDITY AND FUNDING'!D6,'MOODY''S DATA'!AP2:AP10,1),)</f>
        <v>Aaa</v>
      </c>
      <c r="D4" s="57">
        <f>D5/D6</f>
        <v>6.4364617167713591</v>
      </c>
      <c r="E4" s="40"/>
      <c r="F4" s="40"/>
      <c r="G4" s="40"/>
      <c r="H4" s="40"/>
    </row>
    <row r="5" spans="1:8">
      <c r="A5" s="31" t="s">
        <v>41</v>
      </c>
      <c r="C5" s="44"/>
      <c r="D5" s="34">
        <f>'MOODY''S DATA'!B23+'MOODY''S DATA'!B34+'MOODY''S DATA'!B35+'MOODY''S DATA'!B36</f>
        <v>1349475000</v>
      </c>
      <c r="E5" s="3" t="b">
        <f>D5&lt;'MOODY''S DATA'!B15+'MOODY''S DATA'!B16+'MOODY''S DATA'!B23+'MOODY''S DATA'!B24</f>
        <v>1</v>
      </c>
    </row>
    <row r="6" spans="1:8">
      <c r="A6" s="31" t="s">
        <v>465</v>
      </c>
      <c r="C6" s="46"/>
      <c r="D6" s="60">
        <f>'MOODY''S DATA'!B26+'MOODY''S DATA'!B27+'MOODY''S DATA'!B28-'MOODY''S DATA'!B29</f>
        <v>209661000</v>
      </c>
    </row>
    <row r="7" spans="1:8">
      <c r="A7" s="47" t="s">
        <v>362</v>
      </c>
      <c r="B7" s="48" t="s">
        <v>353</v>
      </c>
      <c r="C7" s="103">
        <v>0</v>
      </c>
    </row>
    <row r="8" spans="1:8" ht="28.5">
      <c r="A8" s="62" t="s">
        <v>363</v>
      </c>
      <c r="B8" s="48" t="s">
        <v>382</v>
      </c>
      <c r="C8" s="103">
        <v>0</v>
      </c>
    </row>
    <row r="9" spans="1:8" s="31" customFormat="1" ht="15">
      <c r="A9" s="63"/>
      <c r="B9" s="64"/>
      <c r="C9" s="64"/>
      <c r="D9" s="63"/>
      <c r="E9" s="63"/>
      <c r="F9" s="63"/>
      <c r="G9" s="63"/>
      <c r="H9" s="63"/>
    </row>
    <row r="10" spans="1:8" ht="15">
      <c r="A10" s="1" t="s">
        <v>364</v>
      </c>
      <c r="B10" s="2"/>
      <c r="C10" s="2"/>
      <c r="D10" s="1"/>
      <c r="E10" s="1"/>
      <c r="F10" s="1"/>
      <c r="G10" s="1"/>
      <c r="H10" s="1"/>
    </row>
    <row r="11" spans="1:8" ht="15">
      <c r="A11" s="40" t="s">
        <v>42</v>
      </c>
      <c r="B11" s="61"/>
      <c r="C11" s="61"/>
      <c r="D11" s="40"/>
      <c r="E11" s="40"/>
      <c r="F11" s="40"/>
      <c r="G11" s="40"/>
      <c r="H11" s="40"/>
    </row>
    <row r="12" spans="1:8" ht="15">
      <c r="A12" s="3" t="s">
        <v>43</v>
      </c>
      <c r="C12" s="50" t="s">
        <v>212</v>
      </c>
    </row>
    <row r="13" spans="1:8" ht="15">
      <c r="A13" s="40" t="s">
        <v>4</v>
      </c>
      <c r="B13" s="61"/>
      <c r="C13" s="61"/>
      <c r="D13" s="40"/>
      <c r="E13" s="40"/>
      <c r="F13" s="40"/>
      <c r="G13" s="40"/>
      <c r="H13" s="40"/>
    </row>
    <row r="14" spans="1:8" ht="15">
      <c r="A14" s="3" t="s">
        <v>44</v>
      </c>
      <c r="C14" s="50" t="s">
        <v>212</v>
      </c>
      <c r="E14" s="65"/>
    </row>
    <row r="15" spans="1:8" ht="15">
      <c r="A15" s="40" t="s">
        <v>3</v>
      </c>
      <c r="B15" s="61"/>
      <c r="C15" s="61"/>
      <c r="D15" s="40"/>
      <c r="E15" s="40"/>
      <c r="F15" s="40"/>
      <c r="G15" s="40"/>
      <c r="H15" s="40"/>
    </row>
    <row r="16" spans="1:8" ht="15">
      <c r="A16" s="3" t="s">
        <v>2</v>
      </c>
      <c r="C16" s="50" t="s">
        <v>212</v>
      </c>
      <c r="E16" s="65"/>
    </row>
    <row r="17" spans="1:8" ht="15">
      <c r="A17" s="40" t="s">
        <v>45</v>
      </c>
      <c r="B17" s="61"/>
      <c r="C17" s="61"/>
      <c r="D17" s="40"/>
      <c r="E17" s="40"/>
      <c r="F17" s="40"/>
      <c r="G17" s="40"/>
      <c r="H17" s="40"/>
    </row>
    <row r="18" spans="1:8" ht="15">
      <c r="A18" s="3" t="s">
        <v>46</v>
      </c>
      <c r="C18" s="50" t="s">
        <v>212</v>
      </c>
      <c r="E18" s="65"/>
    </row>
    <row r="19" spans="1:8" ht="15">
      <c r="A19" s="40" t="s">
        <v>1</v>
      </c>
      <c r="B19" s="61"/>
      <c r="C19" s="61"/>
      <c r="D19" s="40"/>
      <c r="E19" s="40"/>
      <c r="F19" s="40"/>
      <c r="G19" s="40"/>
      <c r="H19" s="40"/>
    </row>
    <row r="20" spans="1:8" ht="15">
      <c r="A20" s="3" t="s">
        <v>47</v>
      </c>
      <c r="C20" s="50" t="str" cm="1">
        <f t="array" ref="C20">INDEX('MOODY''S DATA'!AV2:AV9,MATCH('LIQUIDITY AND FUNDING'!D20,'MOODY''S DATA'!AT2:AT9,0),)</f>
        <v>A</v>
      </c>
      <c r="D20" s="66" t="s">
        <v>281</v>
      </c>
    </row>
    <row r="21" spans="1:8">
      <c r="E21" s="65"/>
    </row>
    <row r="22" spans="1:8">
      <c r="E22" s="65"/>
    </row>
    <row r="24" spans="1:8">
      <c r="E24" s="65"/>
    </row>
    <row r="25" spans="1:8">
      <c r="E25" s="65"/>
    </row>
    <row r="29" spans="1:8">
      <c r="B29" s="3"/>
      <c r="C29" s="3"/>
    </row>
    <row r="30" spans="1:8">
      <c r="B30" s="3"/>
      <c r="C30" s="3"/>
    </row>
    <row r="31" spans="1:8">
      <c r="B31" s="3"/>
      <c r="C31" s="3"/>
    </row>
    <row r="32" spans="1:8">
      <c r="B32" s="3"/>
      <c r="C32" s="3"/>
    </row>
    <row r="33" spans="2:3">
      <c r="B33" s="3"/>
      <c r="C33" s="3"/>
    </row>
    <row r="34" spans="2:3">
      <c r="B34" s="3"/>
      <c r="C34" s="3"/>
    </row>
    <row r="35" spans="2:3">
      <c r="B35" s="3"/>
      <c r="C35" s="3"/>
    </row>
    <row r="36" spans="2:3">
      <c r="B36" s="3"/>
      <c r="C36" s="3"/>
    </row>
    <row r="37" spans="2:3">
      <c r="B37" s="3"/>
      <c r="C37" s="3"/>
    </row>
    <row r="38" spans="2:3">
      <c r="B38" s="3"/>
      <c r="C38" s="3"/>
    </row>
    <row r="39" spans="2:3">
      <c r="B39" s="3"/>
      <c r="C39" s="3"/>
    </row>
    <row r="40" spans="2:3">
      <c r="B40" s="3"/>
      <c r="C40" s="3"/>
    </row>
    <row r="41" spans="2:3">
      <c r="B41" s="3"/>
      <c r="C41" s="3"/>
    </row>
    <row r="42" spans="2:3">
      <c r="B42" s="3"/>
      <c r="C42" s="3"/>
    </row>
    <row r="43" spans="2:3">
      <c r="B43" s="3"/>
      <c r="C43" s="3"/>
    </row>
    <row r="44" spans="2:3">
      <c r="B44" s="3"/>
      <c r="C44" s="3"/>
    </row>
    <row r="45" spans="2:3">
      <c r="B45" s="3"/>
      <c r="C45" s="3"/>
    </row>
    <row r="46" spans="2:3">
      <c r="B46" s="3"/>
      <c r="C46" s="3"/>
    </row>
    <row r="47" spans="2:3">
      <c r="B47" s="3"/>
      <c r="C47" s="3"/>
    </row>
    <row r="48" spans="2:3">
      <c r="B48" s="3"/>
      <c r="C48" s="3"/>
    </row>
    <row r="49" spans="2:3">
      <c r="B49" s="3"/>
      <c r="C49" s="3"/>
    </row>
    <row r="50" spans="2:3">
      <c r="B50" s="3"/>
      <c r="C50" s="3"/>
    </row>
  </sheetData>
  <mergeCells count="1">
    <mergeCell ref="A1:H1"/>
  </mergeCells>
  <conditionalFormatting sqref="E5">
    <cfRule type="cellIs" dxfId="21" priority="1" operator="equal">
      <formula>TRUE</formula>
    </cfRule>
  </conditionalFormatting>
  <dataValidations count="3">
    <dataValidation type="list" allowBlank="1" showInputMessage="1" showErrorMessage="1" sqref="D20" xr:uid="{BA2D584E-0200-4EAD-B260-AB7BC1854EE0}">
      <formula1>"Extremely Well,Highly,Well,Somewhat,Local Only,Handful,Very Limited,NA"</formula1>
    </dataValidation>
    <dataValidation type="list" allowBlank="1" showInputMessage="1" showErrorMessage="1" sqref="C7" xr:uid="{66B2EC70-5299-42D0-BA8B-C2AB087AFE90}">
      <formula1>"-3,-2,-1,+0,+1,+2,+3"</formula1>
    </dataValidation>
    <dataValidation type="list" allowBlank="1" showInputMessage="1" showErrorMessage="1" sqref="C8" xr:uid="{12C8CB79-76F2-43D9-9656-C5F6930334A0}">
      <formula1>"+0,+1,+2,+3"</formula1>
    </dataValidation>
  </dataValidations>
  <pageMargins left="0.7" right="0.7" top="0.75" bottom="0.75" header="0.3" footer="0.3"/>
  <pageSetup paperSize="9" scale="7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8313-FE4A-4CBC-B8A4-47EC443CDDFF}">
  <sheetPr>
    <tabColor theme="4" tint="0.39997558519241921"/>
  </sheetPr>
  <dimension ref="A1:H9"/>
  <sheetViews>
    <sheetView showGridLines="0" zoomScale="60" zoomScaleNormal="60" workbookViewId="0">
      <selection sqref="A1:H1"/>
    </sheetView>
  </sheetViews>
  <sheetFormatPr baseColWidth="10" defaultColWidth="11.5" defaultRowHeight="14.25"/>
  <cols>
    <col min="1" max="1" width="35.5" style="3" customWidth="1"/>
    <col min="2" max="2" width="18.75" style="3" bestFit="1" customWidth="1"/>
    <col min="3" max="3" width="12.125" style="3" bestFit="1" customWidth="1"/>
    <col min="4" max="16384" width="11.5" style="3"/>
  </cols>
  <sheetData>
    <row r="1" spans="1:8" ht="15.75" thickBot="1">
      <c r="A1" s="178" t="s">
        <v>121</v>
      </c>
      <c r="B1" s="179"/>
      <c r="C1" s="179"/>
      <c r="D1" s="179"/>
      <c r="E1" s="179"/>
      <c r="F1" s="179"/>
      <c r="G1" s="179"/>
      <c r="H1" s="180"/>
    </row>
    <row r="2" spans="1:8" ht="18" customHeight="1">
      <c r="A2" s="37" t="s">
        <v>346</v>
      </c>
      <c r="B2" s="38" t="s">
        <v>345</v>
      </c>
      <c r="C2" s="38" t="s">
        <v>122</v>
      </c>
      <c r="D2" s="38"/>
      <c r="E2" s="38"/>
      <c r="F2" s="38"/>
      <c r="G2" s="38"/>
      <c r="H2" s="38"/>
    </row>
    <row r="3" spans="1:8" ht="15">
      <c r="A3" s="1" t="s">
        <v>87</v>
      </c>
      <c r="B3" s="67" t="s">
        <v>354</v>
      </c>
      <c r="C3" s="2"/>
      <c r="D3" s="1"/>
      <c r="E3" s="1"/>
      <c r="F3" s="1"/>
      <c r="G3" s="1"/>
      <c r="H3" s="1"/>
    </row>
    <row r="4" spans="1:8" ht="15">
      <c r="A4" s="40"/>
      <c r="B4" s="68"/>
      <c r="C4" s="103">
        <v>0</v>
      </c>
      <c r="D4" s="57"/>
      <c r="E4" s="40"/>
      <c r="F4" s="40"/>
      <c r="G4" s="40"/>
      <c r="H4" s="40"/>
    </row>
    <row r="5" spans="1:8">
      <c r="B5" s="14"/>
    </row>
    <row r="6" spans="1:8" ht="15">
      <c r="A6" s="1" t="s">
        <v>328</v>
      </c>
      <c r="B6" s="67" t="s">
        <v>365</v>
      </c>
      <c r="C6" s="2"/>
      <c r="D6" s="1"/>
      <c r="E6" s="1"/>
      <c r="F6" s="1"/>
      <c r="G6" s="1"/>
      <c r="H6" s="1"/>
    </row>
    <row r="7" spans="1:8">
      <c r="A7" s="69" t="s">
        <v>329</v>
      </c>
      <c r="B7" s="48" t="s">
        <v>392</v>
      </c>
      <c r="C7" s="103">
        <v>0</v>
      </c>
      <c r="D7" s="69"/>
      <c r="E7" s="69"/>
      <c r="F7" s="69"/>
      <c r="G7" s="69"/>
      <c r="H7" s="69"/>
    </row>
    <row r="8" spans="1:8">
      <c r="A8" s="3" t="s">
        <v>330</v>
      </c>
      <c r="B8" s="48" t="s">
        <v>393</v>
      </c>
      <c r="C8" s="103">
        <v>0</v>
      </c>
    </row>
    <row r="9" spans="1:8">
      <c r="A9" s="3" t="s">
        <v>331</v>
      </c>
      <c r="B9" s="48" t="s">
        <v>394</v>
      </c>
      <c r="C9" s="103">
        <v>0</v>
      </c>
    </row>
  </sheetData>
  <mergeCells count="1">
    <mergeCell ref="A1:H1"/>
  </mergeCells>
  <dataValidations count="4">
    <dataValidation type="list" allowBlank="1" showInputMessage="1" showErrorMessage="1" sqref="C7" xr:uid="{22884668-4792-404D-9294-87AF194BCEDF}">
      <formula1>"+0,+1"</formula1>
    </dataValidation>
    <dataValidation type="list" allowBlank="1" showInputMessage="1" showErrorMessage="1" sqref="C4" xr:uid="{0616DAC2-AFB7-4F3A-A90E-B0174CF1DA8D}">
      <formula1>"-3,-2,-1,+0"</formula1>
    </dataValidation>
    <dataValidation type="list" allowBlank="1" showInputMessage="1" showErrorMessage="1" sqref="C8" xr:uid="{8FFA23A2-4737-45E9-B2E7-33636CFC027C}">
      <formula1>"-1,+0"</formula1>
    </dataValidation>
    <dataValidation type="list" allowBlank="1" showInputMessage="1" showErrorMessage="1" sqref="C9" xr:uid="{0969704D-1EF0-4FF1-81EE-FBF664465AB8}">
      <formula1>"-2,-1,+0"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C9E5-B5C4-4408-9CF1-C8D7246F56FE}">
  <sheetPr>
    <tabColor theme="4" tint="0.39997558519241921"/>
    <pageSetUpPr fitToPage="1"/>
  </sheetPr>
  <dimension ref="A1:H32"/>
  <sheetViews>
    <sheetView showGridLines="0" zoomScale="60" zoomScaleNormal="60" workbookViewId="0">
      <selection sqref="A1:H1"/>
    </sheetView>
  </sheetViews>
  <sheetFormatPr baseColWidth="10" defaultColWidth="11.5" defaultRowHeight="14.25"/>
  <cols>
    <col min="1" max="1" width="79.75" style="3" customWidth="1"/>
    <col min="2" max="2" width="15.75" style="3" bestFit="1" customWidth="1"/>
    <col min="3" max="3" width="11.25" style="14" bestFit="1" customWidth="1"/>
    <col min="4" max="4" width="16.75" style="3" bestFit="1" customWidth="1"/>
    <col min="5" max="7" width="13.125" style="3" bestFit="1" customWidth="1"/>
    <col min="8" max="8" width="12.25" style="3" bestFit="1" customWidth="1"/>
    <col min="9" max="16384" width="11.5" style="3"/>
  </cols>
  <sheetData>
    <row r="1" spans="1:8" ht="15.75" thickBot="1">
      <c r="A1" s="178" t="s">
        <v>121</v>
      </c>
      <c r="B1" s="179"/>
      <c r="C1" s="179"/>
      <c r="D1" s="179"/>
      <c r="E1" s="179"/>
      <c r="F1" s="179"/>
      <c r="G1" s="179"/>
      <c r="H1" s="180"/>
    </row>
    <row r="2" spans="1:8" s="26" customFormat="1" ht="18" customHeight="1">
      <c r="A2" s="37" t="s">
        <v>346</v>
      </c>
      <c r="B2" s="38" t="s">
        <v>345</v>
      </c>
      <c r="C2" s="38" t="s">
        <v>122</v>
      </c>
      <c r="D2" s="38"/>
      <c r="E2" s="38"/>
      <c r="F2" s="38"/>
      <c r="G2" s="38"/>
      <c r="H2" s="38"/>
    </row>
    <row r="3" spans="1:8" ht="15">
      <c r="A3" s="1" t="s">
        <v>48</v>
      </c>
      <c r="B3" s="39">
        <v>0.5</v>
      </c>
      <c r="C3" s="2" t="s">
        <v>122</v>
      </c>
      <c r="D3" s="1"/>
      <c r="E3" s="1"/>
      <c r="F3" s="1"/>
      <c r="G3" s="1"/>
      <c r="H3" s="1"/>
    </row>
    <row r="4" spans="1:8" ht="15">
      <c r="A4" s="40" t="s">
        <v>49</v>
      </c>
      <c r="B4" s="40"/>
      <c r="C4" s="50" t="str" cm="1">
        <f t="array" ref="C4">INDEX('MOODY''S DATA'!$BE$2:$BE$23,MATCH(ROUNDUP(SUMPRODUCT('MOODY''S DATA'!AY2:AY19,'MOODY''S DATA'!BA2:BA19)/'MOODY''S DATA'!AY20,0),'MOODY''S DATA'!$BD$2:$BD$23,0),)</f>
        <v>Ba</v>
      </c>
      <c r="D4" s="40"/>
      <c r="E4" s="40"/>
      <c r="F4" s="40"/>
      <c r="G4" s="40"/>
      <c r="H4" s="40"/>
    </row>
    <row r="5" spans="1:8" s="31" customFormat="1" ht="15">
      <c r="A5" s="31" t="s">
        <v>368</v>
      </c>
      <c r="C5" s="44"/>
      <c r="D5" s="145">
        <f>ROUNDUP(SUMPRODUCT('MOODY''S DATA'!AY2:AY19,'MOODY''S DATA'!BA2:BA19)/'MOODY''S DATA'!AY20,0)</f>
        <v>5</v>
      </c>
    </row>
    <row r="6" spans="1:8" s="31" customFormat="1">
      <c r="C6" s="44"/>
    </row>
    <row r="7" spans="1:8" ht="15">
      <c r="A7" s="1" t="s">
        <v>50</v>
      </c>
      <c r="B7" s="39">
        <v>0.25</v>
      </c>
      <c r="C7" s="2" t="s">
        <v>122</v>
      </c>
      <c r="D7" s="1"/>
      <c r="E7" s="1"/>
      <c r="F7" s="1"/>
      <c r="G7" s="1"/>
      <c r="H7" s="1"/>
    </row>
    <row r="8" spans="1:8" s="31" customFormat="1" ht="15">
      <c r="A8" s="40" t="s">
        <v>51</v>
      </c>
      <c r="B8" s="40"/>
      <c r="C8" s="144" t="str" cm="1">
        <f t="array" ref="C8">INDEX('MOODY''S DATA'!BJ2:BJ9,MATCH(IFERROR('MEMBER SUPPORT'!D9/'MEMBER SUPPORT'!D10,0),'MOODY''S DATA'!BH2:BH9,0),)</f>
        <v>Ca</v>
      </c>
      <c r="D8" s="40"/>
      <c r="E8" s="40"/>
      <c r="F8" s="40"/>
      <c r="G8" s="40"/>
      <c r="H8" s="40"/>
    </row>
    <row r="9" spans="1:8">
      <c r="A9" s="3" t="s">
        <v>92</v>
      </c>
      <c r="D9" s="60">
        <f>'MOODY''S DATA'!B4</f>
        <v>0</v>
      </c>
    </row>
    <row r="10" spans="1:8">
      <c r="A10" s="3" t="s">
        <v>53</v>
      </c>
      <c r="D10" s="70">
        <f>'MOODY''S DATA'!B30</f>
        <v>0</v>
      </c>
    </row>
    <row r="11" spans="1:8" ht="15">
      <c r="A11" s="3" t="s">
        <v>456</v>
      </c>
      <c r="C11" s="72">
        <f>D11/D12</f>
        <v>0.39447714285714286</v>
      </c>
      <c r="D11" s="70">
        <f>SUM('MOODY''S DATA'!D41:D45)</f>
        <v>276134000</v>
      </c>
    </row>
    <row r="12" spans="1:8">
      <c r="A12" s="3" t="s">
        <v>461</v>
      </c>
      <c r="D12" s="34">
        <v>700000000</v>
      </c>
    </row>
    <row r="13" spans="1:8" s="47" customFormat="1">
      <c r="A13" s="47" t="s">
        <v>366</v>
      </c>
      <c r="B13" s="71" t="s">
        <v>384</v>
      </c>
      <c r="C13" s="103">
        <v>0</v>
      </c>
    </row>
    <row r="14" spans="1:8" s="47" customFormat="1" ht="27.95" customHeight="1">
      <c r="A14" s="62" t="s">
        <v>367</v>
      </c>
      <c r="B14" s="101" t="s">
        <v>383</v>
      </c>
      <c r="C14" s="103">
        <v>0</v>
      </c>
    </row>
    <row r="15" spans="1:8" s="31" customFormat="1" ht="15">
      <c r="A15" s="31" t="s">
        <v>464</v>
      </c>
      <c r="B15" s="51"/>
      <c r="C15" s="44"/>
      <c r="D15" s="123">
        <f>IF('MEMBER SUPPORT'!C8="Aaa",21,IF('MEMBER SUPPORT'!C8="Aa",19,IF('MEMBER SUPPORT'!C8="A",16,IF('MEMBER SUPPORT'!C8="Baa",13,IF('MEMBER SUPPORT'!C8="Ba",10,IF('MEMBER SUPPORT'!C8="B",7,IF('MEMBER SUPPORT'!C8="Caa",4,2)))))))-C13-C14</f>
        <v>2</v>
      </c>
      <c r="E15" s="51"/>
      <c r="F15" s="51"/>
      <c r="G15" s="51"/>
      <c r="H15" s="51"/>
    </row>
    <row r="16" spans="1:8" ht="15">
      <c r="A16" s="1" t="s">
        <v>54</v>
      </c>
      <c r="B16" s="39">
        <v>0.25</v>
      </c>
      <c r="C16" s="2"/>
      <c r="D16" s="1"/>
      <c r="E16" s="1"/>
      <c r="F16" s="1"/>
      <c r="G16" s="1"/>
      <c r="H16" s="1"/>
    </row>
    <row r="17" spans="1:8" ht="15">
      <c r="A17" s="40" t="s">
        <v>54</v>
      </c>
      <c r="B17" s="40"/>
      <c r="C17" s="50" t="s">
        <v>209</v>
      </c>
      <c r="D17" s="40"/>
      <c r="E17" s="40"/>
      <c r="F17" s="40"/>
      <c r="G17" s="40"/>
      <c r="H17" s="40"/>
    </row>
    <row r="18" spans="1:8" ht="15">
      <c r="A18" s="3" t="s">
        <v>463</v>
      </c>
      <c r="C18" s="3"/>
      <c r="D18" s="123" cm="1">
        <f t="array" ref="D18">INDEX('MOODY''S DATA'!BM2:BM6,MATCH('MEMBER SUPPORT'!C17,'MOODY''S DATA'!BL2:BL6,0),)</f>
        <v>2</v>
      </c>
    </row>
    <row r="30" spans="1:8" ht="15">
      <c r="A30" s="1" t="s">
        <v>390</v>
      </c>
      <c r="B30" s="39"/>
      <c r="C30" s="2"/>
      <c r="D30" s="1"/>
      <c r="E30" s="1"/>
      <c r="F30" s="1"/>
      <c r="G30" s="1"/>
      <c r="H30" s="1"/>
    </row>
    <row r="31" spans="1:8" ht="15">
      <c r="A31" s="40" t="s">
        <v>391</v>
      </c>
      <c r="B31" s="40"/>
      <c r="C31" s="50" t="str" cm="1">
        <f t="array" ref="C31">INDEX('MOODY''S DATA'!BQ2:BQ6,MATCH('MEMBER SUPPORT'!F32,'MOODY''S DATA'!BR2:BR6,0),)</f>
        <v>Moderate</v>
      </c>
      <c r="D31" s="72"/>
      <c r="E31" s="40"/>
      <c r="F31" s="40"/>
      <c r="G31" s="49" t="s">
        <v>467</v>
      </c>
      <c r="H31" s="40"/>
    </row>
    <row r="32" spans="1:8" ht="15">
      <c r="A32" s="3" t="s">
        <v>462</v>
      </c>
      <c r="C32" s="103" cm="1">
        <f t="array" ref="C32">INDEX('MOODY''S DATA'!BS2:BS6,MATCH('MEMBER SUPPORT'!C31,'MOODY''S DATA'!BQ2:BQ6,0),)</f>
        <v>1</v>
      </c>
      <c r="D32" s="123">
        <f>B3*D5+B7*D15+B16*D18</f>
        <v>3.5</v>
      </c>
      <c r="F32" s="148" cm="1">
        <f t="array" ref="F32">INDEX('MOODY''S DATA'!BO2:BO6,MATCH('MEMBER SUPPORT'!D32,'MOODY''S DATA'!BO2:BO6,-1),)</f>
        <v>3.5</v>
      </c>
      <c r="G32" s="3" t="b">
        <f>1=COUNTIF('MOODY''S DATA'!BR2:BR6,'MEMBER SUPPORT'!F32)</f>
        <v>1</v>
      </c>
    </row>
  </sheetData>
  <mergeCells count="1">
    <mergeCell ref="A1:H1"/>
  </mergeCells>
  <conditionalFormatting sqref="G32">
    <cfRule type="cellIs" dxfId="20" priority="1" operator="equal">
      <formula>TRUE</formula>
    </cfRule>
  </conditionalFormatting>
  <dataValidations count="3">
    <dataValidation type="list" allowBlank="1" showInputMessage="1" showErrorMessage="1" sqref="C13" xr:uid="{469D7A98-38FB-4AF5-91ED-D378B638FB60}">
      <formula1>"+0,+1,+2"</formula1>
    </dataValidation>
    <dataValidation type="list" allowBlank="1" showInputMessage="1" showErrorMessage="1" sqref="C14" xr:uid="{F7C58662-935C-42F3-9C4E-DBF1636DDCCF}">
      <formula1>"+0,+1"</formula1>
    </dataValidation>
    <dataValidation type="list" allowBlank="1" showInputMessage="1" showErrorMessage="1" sqref="C17" xr:uid="{FFF7B039-3C92-463E-A2E4-B6ECDBE65270}">
      <formula1>"Very High,High,Medium,Low,Very Low"</formula1>
    </dataValidation>
  </dataValidations>
  <pageMargins left="0.7" right="0.7" top="0.75" bottom="0.75" header="0.3" footer="0.3"/>
  <pageSetup paperSize="9" scale="75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799A-5E03-47B4-B188-6D1423BCA38A}">
  <sheetPr>
    <tabColor theme="5" tint="0.79998168889431442"/>
  </sheetPr>
  <dimension ref="B3:R38"/>
  <sheetViews>
    <sheetView showGridLines="0" tabSelected="1" zoomScale="40" zoomScaleNormal="40" workbookViewId="0">
      <selection activeCell="B31" sqref="B31:R38"/>
    </sheetView>
  </sheetViews>
  <sheetFormatPr baseColWidth="10" defaultRowHeight="14.25"/>
  <cols>
    <col min="2" max="2" width="13.875" bestFit="1" customWidth="1"/>
    <col min="4" max="4" width="8.75" bestFit="1" customWidth="1"/>
    <col min="6" max="6" width="15.125" bestFit="1" customWidth="1"/>
    <col min="8" max="8" width="20.875" bestFit="1" customWidth="1"/>
    <col min="10" max="10" width="30.625" customWidth="1"/>
    <col min="12" max="12" width="22.875" customWidth="1"/>
    <col min="14" max="14" width="58.125" customWidth="1"/>
    <col min="16" max="16" width="41.125" bestFit="1" customWidth="1"/>
    <col min="18" max="18" width="38.875" bestFit="1" customWidth="1"/>
  </cols>
  <sheetData>
    <row r="3" spans="2:18" ht="14.45" customHeight="1">
      <c r="B3" s="132" t="s">
        <v>424</v>
      </c>
      <c r="C3" s="98"/>
      <c r="D3" s="132" t="s">
        <v>423</v>
      </c>
      <c r="E3" s="98"/>
      <c r="F3" s="132" t="s">
        <v>441</v>
      </c>
      <c r="G3" s="98"/>
      <c r="H3" s="132" t="s">
        <v>442</v>
      </c>
      <c r="I3" s="98"/>
      <c r="J3" s="132" t="s">
        <v>443</v>
      </c>
      <c r="K3" s="98"/>
      <c r="L3" s="132" t="s">
        <v>87</v>
      </c>
      <c r="N3" s="132" t="s">
        <v>90</v>
      </c>
      <c r="P3" s="132" t="s">
        <v>449</v>
      </c>
      <c r="R3" s="132" t="s">
        <v>93</v>
      </c>
    </row>
    <row r="4" spans="2:18" ht="15">
      <c r="B4" s="133" t="str">
        <f>SOLVENCY!I3</f>
        <v>Excellent</v>
      </c>
      <c r="C4" s="130"/>
      <c r="D4" s="133" t="str">
        <f>SOLVENCY!I11</f>
        <v>Medium</v>
      </c>
      <c r="E4" s="130"/>
      <c r="F4" s="134" t="str">
        <f>LIQUIDITY!I3</f>
        <v>Excellent</v>
      </c>
      <c r="G4" s="130"/>
      <c r="H4" s="133" t="str">
        <f>LIQUIDITY!I8</f>
        <v>Medium</v>
      </c>
      <c r="I4" s="130"/>
      <c r="J4" s="133" t="str">
        <f>'BUSINESS ENVIRONMENT'!I4</f>
        <v>Medium Risk</v>
      </c>
      <c r="K4" s="130"/>
      <c r="L4" s="133" t="str">
        <f>'BUSINESS ENVIRONMENT'!I11</f>
        <v>High Risk</v>
      </c>
      <c r="N4" s="139" t="str">
        <f>+'SUPPORT CREDIT RATING'!B5</f>
        <v>BBB-</v>
      </c>
      <c r="P4" s="139" t="str">
        <f>'SUPPORT CREDIT RATING'!B6</f>
        <v>NA</v>
      </c>
      <c r="R4" s="127">
        <f>'SUPPORT CREDIT RATING'!B9</f>
        <v>0</v>
      </c>
    </row>
    <row r="5" spans="2:18">
      <c r="B5" s="135"/>
      <c r="C5" s="130"/>
      <c r="D5" s="135"/>
      <c r="E5" s="130"/>
      <c r="F5" s="136"/>
      <c r="G5" s="130"/>
      <c r="H5" s="135"/>
      <c r="I5" s="130"/>
      <c r="J5" s="135"/>
      <c r="K5" s="130"/>
      <c r="L5" s="135"/>
    </row>
    <row r="6" spans="2:18">
      <c r="B6" s="98"/>
      <c r="C6" s="98"/>
      <c r="D6" s="98"/>
      <c r="E6" s="98"/>
      <c r="F6" s="129"/>
      <c r="G6" s="98"/>
      <c r="H6" s="98"/>
      <c r="I6" s="98"/>
      <c r="J6" s="98"/>
      <c r="K6" s="98"/>
      <c r="L6" s="98"/>
    </row>
    <row r="7" spans="2:18">
      <c r="B7" s="197" t="s">
        <v>437</v>
      </c>
      <c r="C7" s="197"/>
      <c r="D7" s="197"/>
      <c r="E7" s="98"/>
      <c r="F7" s="198" t="s">
        <v>438</v>
      </c>
      <c r="G7" s="198"/>
      <c r="H7" s="198"/>
      <c r="I7" s="98"/>
      <c r="J7" s="98"/>
      <c r="K7" s="98"/>
      <c r="L7" s="98"/>
    </row>
    <row r="8" spans="2:18" ht="15">
      <c r="B8" s="200" t="str">
        <f>SOLVENCY!K11</f>
        <v>aa</v>
      </c>
      <c r="C8" s="201"/>
      <c r="D8" s="202"/>
      <c r="F8" s="203" t="str">
        <f>LIQUIDITY!K11</f>
        <v>aa</v>
      </c>
      <c r="G8" s="203"/>
      <c r="H8" s="203"/>
      <c r="I8" s="98"/>
      <c r="J8" s="98"/>
      <c r="K8" s="98"/>
      <c r="L8" s="98"/>
    </row>
    <row r="9" spans="2:18">
      <c r="I9" s="98"/>
      <c r="J9" s="98"/>
      <c r="K9" s="98"/>
      <c r="L9" s="98"/>
    </row>
    <row r="11" spans="2:18"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</row>
    <row r="12" spans="2:18">
      <c r="B12" s="191" t="s">
        <v>439</v>
      </c>
      <c r="C12" s="191"/>
      <c r="D12" s="191"/>
      <c r="E12" s="191"/>
      <c r="F12" s="191"/>
      <c r="G12" s="191"/>
      <c r="H12" s="191"/>
      <c r="I12" s="98"/>
      <c r="J12" s="191" t="s">
        <v>444</v>
      </c>
      <c r="K12" s="191"/>
      <c r="L12" s="191"/>
    </row>
    <row r="13" spans="2:18">
      <c r="B13" s="191"/>
      <c r="C13" s="191"/>
      <c r="D13" s="191"/>
      <c r="E13" s="191"/>
      <c r="F13" s="191"/>
      <c r="G13" s="191"/>
      <c r="H13" s="191"/>
      <c r="I13" s="98"/>
      <c r="J13" s="191"/>
      <c r="K13" s="191"/>
      <c r="L13" s="191"/>
    </row>
    <row r="14" spans="2:18">
      <c r="B14" s="192" t="str" cm="1">
        <f t="array" ref="B14">IF(INDEX('FITCH DATA'!CC2:CC23,MATCH(B8,'FITCH DATA'!CB2:CB23,0),)&lt;=INDEX('FITCH DATA'!CC2:CC23,MATCH(F8,'FITCH DATA'!CB2:CB23,0),),B8,F8)</f>
        <v>aa</v>
      </c>
      <c r="C14" s="192"/>
      <c r="D14" s="192"/>
      <c r="E14" s="192"/>
      <c r="F14" s="192"/>
      <c r="G14" s="192"/>
      <c r="H14" s="192"/>
      <c r="I14" s="130"/>
      <c r="J14" s="199" t="str">
        <f>'BUSINESS ENVIRONMENT'!K9</f>
        <v>-2</v>
      </c>
      <c r="K14" s="199"/>
      <c r="L14" s="199"/>
    </row>
    <row r="15" spans="2:18">
      <c r="B15" s="135"/>
      <c r="C15" s="135"/>
      <c r="D15" s="135"/>
      <c r="E15" s="135"/>
      <c r="F15" s="135"/>
      <c r="G15" s="135"/>
      <c r="H15" s="135"/>
      <c r="I15" s="130"/>
    </row>
    <row r="16" spans="2:18">
      <c r="B16" s="135"/>
      <c r="C16" s="135"/>
      <c r="D16" s="135"/>
      <c r="E16" s="135"/>
      <c r="F16" s="135"/>
      <c r="G16" s="135"/>
      <c r="H16" s="135"/>
      <c r="I16" s="130"/>
    </row>
    <row r="17" spans="2:18">
      <c r="B17" s="135"/>
      <c r="C17" s="135"/>
      <c r="D17" s="135"/>
      <c r="E17" s="135"/>
      <c r="F17" s="135"/>
      <c r="G17" s="135"/>
      <c r="H17" s="135"/>
      <c r="I17" s="130"/>
    </row>
    <row r="18" spans="2:18" ht="15">
      <c r="B18" s="196" t="s">
        <v>450</v>
      </c>
      <c r="C18" s="196"/>
      <c r="D18" s="196"/>
      <c r="E18" s="196"/>
      <c r="F18" s="196"/>
      <c r="G18" s="196"/>
      <c r="H18" s="196"/>
      <c r="I18" s="196"/>
      <c r="J18" s="196"/>
      <c r="K18" s="196"/>
      <c r="L18" s="196"/>
      <c r="N18" s="191" t="s">
        <v>448</v>
      </c>
      <c r="O18" s="191"/>
      <c r="P18" s="191"/>
      <c r="Q18" s="191"/>
      <c r="R18" s="191"/>
    </row>
    <row r="19" spans="2:18">
      <c r="B19" s="193" t="str" cm="1">
        <f t="array" ref="B19">INDEX('FITCH DATA'!CB2:CB23,MATCH(INDEX('FITCH DATA'!CC2:CC23,MATCH(B14,'FITCH DATA'!CB2:CB23,0),)+J14,'FITCH DATA'!CC2:CC23,0),)</f>
        <v>A+</v>
      </c>
      <c r="C19" s="194"/>
      <c r="D19" s="194"/>
      <c r="E19" s="194"/>
      <c r="F19" s="194"/>
      <c r="G19" s="194"/>
      <c r="H19" s="194"/>
      <c r="I19" s="194"/>
      <c r="J19" s="194"/>
      <c r="K19" s="194"/>
      <c r="L19" s="195"/>
      <c r="N19" s="192" t="str">
        <f>'SUPPORT CREDIT RATING'!L4</f>
        <v>BBB-</v>
      </c>
      <c r="O19" s="192"/>
      <c r="P19" s="192"/>
      <c r="Q19" s="192"/>
      <c r="R19" s="192"/>
    </row>
    <row r="21" spans="2:18">
      <c r="B21" s="135"/>
      <c r="C21" s="135"/>
      <c r="D21" s="135"/>
      <c r="E21" s="135"/>
      <c r="F21" s="135"/>
      <c r="G21" s="135"/>
      <c r="H21" s="135"/>
      <c r="I21" s="130"/>
      <c r="J21" s="138"/>
      <c r="K21" s="138"/>
      <c r="L21" s="138"/>
    </row>
    <row r="22" spans="2:18">
      <c r="B22" s="135"/>
      <c r="C22" s="135"/>
      <c r="D22" s="135"/>
      <c r="E22" s="135"/>
      <c r="F22" s="135"/>
      <c r="G22" s="135"/>
      <c r="H22" s="135"/>
      <c r="I22" s="130"/>
      <c r="J22" s="138"/>
      <c r="K22" s="138"/>
      <c r="L22" s="138"/>
    </row>
    <row r="23" spans="2:18">
      <c r="B23" s="135"/>
      <c r="C23" s="135"/>
      <c r="D23" s="135"/>
      <c r="E23" s="135"/>
      <c r="F23" s="135"/>
      <c r="G23" s="135"/>
      <c r="H23" s="135"/>
      <c r="I23" s="130"/>
      <c r="J23" s="138"/>
      <c r="K23" s="138"/>
      <c r="L23" s="138"/>
    </row>
    <row r="24" spans="2:18">
      <c r="B24" s="135"/>
      <c r="C24" s="135"/>
      <c r="D24" s="135"/>
      <c r="E24" s="135"/>
      <c r="F24" s="135"/>
      <c r="G24" s="135"/>
      <c r="H24" s="135"/>
      <c r="I24" s="130"/>
      <c r="J24" s="138"/>
      <c r="K24" s="138"/>
      <c r="L24" s="138"/>
    </row>
    <row r="25" spans="2:18">
      <c r="B25" s="130"/>
      <c r="C25" s="130"/>
      <c r="D25" s="130"/>
      <c r="E25" s="130"/>
      <c r="F25" s="130"/>
      <c r="G25" s="130"/>
      <c r="H25" s="130"/>
      <c r="I25" s="130"/>
      <c r="J25" s="137"/>
      <c r="K25" s="137"/>
      <c r="L25" s="137"/>
    </row>
    <row r="26" spans="2:18">
      <c r="B26" s="130"/>
      <c r="C26" s="130"/>
      <c r="D26" s="130"/>
      <c r="E26" s="130"/>
      <c r="F26" s="130"/>
      <c r="G26" s="130"/>
      <c r="H26" s="130"/>
      <c r="I26" s="130"/>
      <c r="J26" s="137"/>
      <c r="K26" s="137"/>
      <c r="L26" s="137"/>
    </row>
    <row r="27" spans="2:18">
      <c r="B27" s="130"/>
      <c r="C27" s="130"/>
      <c r="D27" s="130"/>
      <c r="E27" s="130"/>
      <c r="F27" s="130"/>
      <c r="G27" s="130"/>
      <c r="H27" s="130"/>
      <c r="I27" s="130"/>
      <c r="J27" s="137"/>
      <c r="K27" s="137"/>
      <c r="L27" s="137"/>
    </row>
    <row r="29" spans="2:18">
      <c r="B29" s="191" t="s">
        <v>452</v>
      </c>
      <c r="C29" s="191"/>
      <c r="D29" s="191"/>
      <c r="E29" s="191"/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191"/>
      <c r="Q29" s="191"/>
      <c r="R29" s="191"/>
    </row>
    <row r="30" spans="2:18">
      <c r="B30" s="191"/>
      <c r="C30" s="191"/>
      <c r="D30" s="191"/>
      <c r="E30" s="191"/>
      <c r="F30" s="191"/>
      <c r="G30" s="191"/>
      <c r="H30" s="191"/>
      <c r="I30" s="191"/>
      <c r="J30" s="191"/>
      <c r="K30" s="191"/>
      <c r="L30" s="191"/>
      <c r="M30" s="191"/>
      <c r="N30" s="191"/>
      <c r="O30" s="191"/>
      <c r="P30" s="191"/>
      <c r="Q30" s="191"/>
      <c r="R30" s="191"/>
    </row>
    <row r="31" spans="2:18" ht="23.45" customHeight="1">
      <c r="B31" s="182" t="str" cm="1">
        <f t="array" ref="B31">IF(INDEX('FITCH DATA'!L2:L23,MATCH('FITCH Summary'!B19,'FITCH DATA'!K2:K23,0),)&lt;INDEX('FITCH DATA'!L2:L23,MATCH('FITCH Summary'!N19,'FITCH DATA'!K2:K23,0),),'FITCH Summary'!B19,'FITCH Summary'!N19)</f>
        <v>A+</v>
      </c>
      <c r="C31" s="183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4"/>
    </row>
    <row r="32" spans="2:18" ht="14.45" customHeight="1">
      <c r="B32" s="185"/>
      <c r="C32" s="186"/>
      <c r="D32" s="186"/>
      <c r="E32" s="186"/>
      <c r="F32" s="186"/>
      <c r="G32" s="186"/>
      <c r="H32" s="186"/>
      <c r="I32" s="186"/>
      <c r="J32" s="186"/>
      <c r="K32" s="186"/>
      <c r="L32" s="186"/>
      <c r="M32" s="186"/>
      <c r="N32" s="186"/>
      <c r="O32" s="186"/>
      <c r="P32" s="186"/>
      <c r="Q32" s="186"/>
      <c r="R32" s="187"/>
    </row>
    <row r="33" spans="2:18" ht="14.45" customHeight="1">
      <c r="B33" s="185"/>
      <c r="C33" s="186"/>
      <c r="D33" s="186"/>
      <c r="E33" s="186"/>
      <c r="F33" s="186"/>
      <c r="G33" s="186"/>
      <c r="H33" s="186"/>
      <c r="I33" s="186"/>
      <c r="J33" s="186"/>
      <c r="K33" s="186"/>
      <c r="L33" s="186"/>
      <c r="M33" s="186"/>
      <c r="N33" s="186"/>
      <c r="O33" s="186"/>
      <c r="P33" s="186"/>
      <c r="Q33" s="186"/>
      <c r="R33" s="187"/>
    </row>
    <row r="34" spans="2:18" ht="14.45" customHeight="1">
      <c r="B34" s="185"/>
      <c r="C34" s="186"/>
      <c r="D34" s="186"/>
      <c r="E34" s="186"/>
      <c r="F34" s="186"/>
      <c r="G34" s="186"/>
      <c r="H34" s="186"/>
      <c r="I34" s="186"/>
      <c r="J34" s="186"/>
      <c r="K34" s="186"/>
      <c r="L34" s="186"/>
      <c r="M34" s="186"/>
      <c r="N34" s="186"/>
      <c r="O34" s="186"/>
      <c r="P34" s="186"/>
      <c r="Q34" s="186"/>
      <c r="R34" s="187"/>
    </row>
    <row r="35" spans="2:18" ht="14.45" customHeight="1">
      <c r="B35" s="185"/>
      <c r="C35" s="186"/>
      <c r="D35" s="186"/>
      <c r="E35" s="186"/>
      <c r="F35" s="186"/>
      <c r="G35" s="186"/>
      <c r="H35" s="186"/>
      <c r="I35" s="186"/>
      <c r="J35" s="186"/>
      <c r="K35" s="186"/>
      <c r="L35" s="186"/>
      <c r="M35" s="186"/>
      <c r="N35" s="186"/>
      <c r="O35" s="186"/>
      <c r="P35" s="186"/>
      <c r="Q35" s="186"/>
      <c r="R35" s="187"/>
    </row>
    <row r="36" spans="2:18" ht="14.45" customHeight="1">
      <c r="B36" s="185"/>
      <c r="C36" s="186"/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7"/>
    </row>
    <row r="37" spans="2:18" ht="14.45" customHeight="1">
      <c r="B37" s="185"/>
      <c r="C37" s="186"/>
      <c r="D37" s="186"/>
      <c r="E37" s="186"/>
      <c r="F37" s="186"/>
      <c r="G37" s="186"/>
      <c r="H37" s="186"/>
      <c r="I37" s="186"/>
      <c r="J37" s="186"/>
      <c r="K37" s="186"/>
      <c r="L37" s="186"/>
      <c r="M37" s="186"/>
      <c r="N37" s="186"/>
      <c r="O37" s="186"/>
      <c r="P37" s="186"/>
      <c r="Q37" s="186"/>
      <c r="R37" s="187"/>
    </row>
    <row r="38" spans="2:18" ht="14.45" customHeight="1">
      <c r="B38" s="188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90"/>
    </row>
  </sheetData>
  <mergeCells count="14">
    <mergeCell ref="B7:D7"/>
    <mergeCell ref="F7:H7"/>
    <mergeCell ref="B12:H13"/>
    <mergeCell ref="J14:L14"/>
    <mergeCell ref="J12:L13"/>
    <mergeCell ref="B8:D8"/>
    <mergeCell ref="F8:H8"/>
    <mergeCell ref="B14:H14"/>
    <mergeCell ref="B31:R38"/>
    <mergeCell ref="B29:R30"/>
    <mergeCell ref="N18:R18"/>
    <mergeCell ref="N19:R19"/>
    <mergeCell ref="B19:L19"/>
    <mergeCell ref="B18:L18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578B261-FBC4-4E99-A784-9643F23DDAFA}">
          <x14:formula1>
            <xm:f>'BUSINESS ENVIRONMENT'!$K$8:$L$8</xm:f>
          </x14:formula1>
          <xm:sqref>J21:L27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5C574-B0C9-4D18-A34A-28B6B8E0ACFE}">
  <sheetPr>
    <tabColor theme="5" tint="0.79998168889431442"/>
  </sheetPr>
  <dimension ref="A1:CC94"/>
  <sheetViews>
    <sheetView showGridLines="0" zoomScale="60" zoomScaleNormal="60" workbookViewId="0"/>
  </sheetViews>
  <sheetFormatPr baseColWidth="10" defaultColWidth="11.5" defaultRowHeight="14.25" outlineLevelCol="1"/>
  <cols>
    <col min="1" max="1" width="75.75" style="3" bestFit="1" customWidth="1"/>
    <col min="2" max="2" width="18.875" style="3" bestFit="1" customWidth="1"/>
    <col min="3" max="3" width="28.75" style="3" bestFit="1" customWidth="1"/>
    <col min="4" max="4" width="18.875" style="3" customWidth="1"/>
    <col min="5" max="5" width="11.5" style="3"/>
    <col min="6" max="6" width="22.75" style="3" customWidth="1" outlineLevel="1"/>
    <col min="7" max="12" width="21.5" style="3" customWidth="1" outlineLevel="1"/>
    <col min="13" max="13" width="21.5" style="3" customWidth="1"/>
    <col min="14" max="14" width="27.875" style="3" customWidth="1" outlineLevel="1"/>
    <col min="15" max="15" width="21.875" style="34" customWidth="1" outlineLevel="1"/>
    <col min="16" max="16" width="17.375" style="3" customWidth="1" outlineLevel="1"/>
    <col min="17" max="17" width="14.125" style="3" customWidth="1" outlineLevel="1"/>
    <col min="18" max="18" width="11.5" style="3"/>
    <col min="20" max="20" width="16.5" style="3" customWidth="1" outlineLevel="1"/>
    <col min="21" max="21" width="20" style="3" customWidth="1" outlineLevel="1"/>
    <col min="22" max="22" width="11.5" style="3" customWidth="1" outlineLevel="1"/>
    <col min="23" max="23" width="11.5" style="3"/>
    <col min="24" max="24" width="30.5" style="3" customWidth="1" outlineLevel="1"/>
    <col min="25" max="25" width="36.75" style="3" customWidth="1" outlineLevel="1"/>
    <col min="26" max="26" width="10.875" style="3" customWidth="1" outlineLevel="1"/>
    <col min="27" max="27" width="11.5" style="3"/>
    <col min="28" max="28" width="21.875" style="3" customWidth="1" outlineLevel="1"/>
    <col min="29" max="29" width="28" style="3" customWidth="1" outlineLevel="1"/>
    <col min="30" max="30" width="11.5" style="3" customWidth="1" outlineLevel="1"/>
    <col min="31" max="31" width="11.5" style="3"/>
    <col min="32" max="32" width="16.5" style="3" customWidth="1" outlineLevel="1"/>
    <col min="33" max="33" width="14.25" style="3" customWidth="1" outlineLevel="1"/>
    <col min="34" max="34" width="11.5" style="3" customWidth="1" outlineLevel="1"/>
    <col min="35" max="35" width="11.5" style="3"/>
    <col min="36" max="36" width="16.875" style="3" customWidth="1" outlineLevel="1"/>
    <col min="37" max="37" width="9.5" style="3" customWidth="1" outlineLevel="1"/>
    <col min="38" max="38" width="11.5" style="3" customWidth="1" outlineLevel="1"/>
    <col min="39" max="39" width="11.5" style="3"/>
    <col min="40" max="40" width="26.125" style="3" customWidth="1" outlineLevel="1"/>
    <col min="41" max="41" width="18.75" style="3" customWidth="1" outlineLevel="1"/>
    <col min="42" max="42" width="10.875" style="3" customWidth="1" outlineLevel="1"/>
    <col min="43" max="43" width="11.5" style="3"/>
    <col min="44" max="44" width="18.125" style="3" customWidth="1" outlineLevel="1"/>
    <col min="45" max="45" width="15.125" style="3" customWidth="1" outlineLevel="1"/>
    <col min="46" max="46" width="13.875" style="3" customWidth="1" outlineLevel="1"/>
    <col min="47" max="47" width="13.875" style="3" customWidth="1"/>
    <col min="48" max="48" width="24.875" style="3" customWidth="1" outlineLevel="1"/>
    <col min="49" max="49" width="17.5" style="3" customWidth="1" outlineLevel="1"/>
    <col min="50" max="50" width="13.875" style="3" customWidth="1" outlineLevel="1"/>
    <col min="51" max="51" width="11.5" style="3"/>
    <col min="52" max="52" width="25" style="3" customWidth="1" outlineLevel="1"/>
    <col min="53" max="53" width="18.5" style="3" customWidth="1" outlineLevel="1"/>
    <col min="54" max="54" width="15.5" style="3" customWidth="1" outlineLevel="1"/>
    <col min="55" max="55" width="11.5" style="3"/>
    <col min="56" max="56" width="20.5" style="3" customWidth="1" outlineLevel="1"/>
    <col min="57" max="57" width="25.5" style="3" customWidth="1" outlineLevel="1"/>
    <col min="58" max="58" width="14.5" style="3" customWidth="1" outlineLevel="1"/>
    <col min="59" max="59" width="11.5" style="3"/>
    <col min="60" max="60" width="18.25" style="3" customWidth="1" outlineLevel="1"/>
    <col min="61" max="62" width="13.125" style="3" customWidth="1" outlineLevel="1"/>
    <col min="63" max="63" width="11.5" style="3"/>
    <col min="64" max="64" width="19.5" style="3" customWidth="1" outlineLevel="1"/>
    <col min="65" max="65" width="25.75" style="3" customWidth="1" outlineLevel="1"/>
    <col min="66" max="66" width="16.5" style="3" customWidth="1" outlineLevel="1"/>
    <col min="67" max="67" width="11.5" style="3"/>
    <col min="68" max="68" width="17.125" style="3" customWidth="1" outlineLevel="1"/>
    <col min="69" max="69" width="23" style="3" customWidth="1" outlineLevel="1"/>
    <col min="70" max="70" width="11.5" style="3" customWidth="1" outlineLevel="1"/>
    <col min="71" max="71" width="11.5" style="3"/>
    <col min="72" max="72" width="19" style="3" customWidth="1" outlineLevel="1"/>
    <col min="73" max="73" width="24.5" style="3" customWidth="1" outlineLevel="1"/>
    <col min="74" max="74" width="11.5" style="3" customWidth="1" outlineLevel="1"/>
    <col min="75" max="75" width="11.5" style="3"/>
    <col min="76" max="76" width="19" style="3" customWidth="1" outlineLevel="1"/>
    <col min="77" max="77" width="24.5" style="3" customWidth="1" outlineLevel="1"/>
    <col min="78" max="78" width="10.875" style="3" customWidth="1" outlineLevel="1"/>
    <col min="79" max="16384" width="11.5" style="3"/>
  </cols>
  <sheetData>
    <row r="1" spans="1:81" ht="15">
      <c r="A1" s="73" t="s">
        <v>289</v>
      </c>
      <c r="B1" s="74" t="s">
        <v>114</v>
      </c>
      <c r="C1"/>
      <c r="D1"/>
      <c r="F1" s="75" t="s">
        <v>33</v>
      </c>
      <c r="G1" s="75" t="s">
        <v>179</v>
      </c>
      <c r="H1" s="75" t="s">
        <v>32</v>
      </c>
      <c r="J1" s="75" t="s">
        <v>299</v>
      </c>
      <c r="K1" s="75" t="s">
        <v>300</v>
      </c>
      <c r="L1" s="75" t="s">
        <v>301</v>
      </c>
      <c r="N1" s="75" t="s">
        <v>466</v>
      </c>
      <c r="O1" s="76" t="s">
        <v>218</v>
      </c>
      <c r="P1" s="77" t="s">
        <v>211</v>
      </c>
      <c r="Q1" s="78" t="s">
        <v>214</v>
      </c>
      <c r="R1" s="74" t="s">
        <v>255</v>
      </c>
      <c r="T1" s="74" t="s">
        <v>309</v>
      </c>
      <c r="U1" s="74" t="s">
        <v>310</v>
      </c>
      <c r="V1" s="74" t="s">
        <v>371</v>
      </c>
      <c r="X1" s="74" t="s">
        <v>311</v>
      </c>
      <c r="Y1" s="74" t="s">
        <v>312</v>
      </c>
      <c r="Z1" s="74" t="s">
        <v>371</v>
      </c>
      <c r="AB1" s="79" t="s">
        <v>313</v>
      </c>
      <c r="AC1" s="74" t="s">
        <v>314</v>
      </c>
      <c r="AD1" s="74" t="s">
        <v>371</v>
      </c>
      <c r="AF1" s="73" t="s">
        <v>210</v>
      </c>
      <c r="AG1" s="73" t="s">
        <v>214</v>
      </c>
      <c r="AH1" s="74" t="s">
        <v>371</v>
      </c>
      <c r="AJ1" s="74" t="s">
        <v>215</v>
      </c>
      <c r="AK1" s="74" t="s">
        <v>213</v>
      </c>
      <c r="AL1" s="74" t="s">
        <v>371</v>
      </c>
      <c r="AN1" s="74" t="s">
        <v>216</v>
      </c>
      <c r="AO1" s="74" t="s">
        <v>217</v>
      </c>
      <c r="AP1" s="74" t="s">
        <v>371</v>
      </c>
      <c r="AR1" s="74" t="s">
        <v>240</v>
      </c>
      <c r="AS1" s="74" t="s">
        <v>241</v>
      </c>
      <c r="AT1" s="74" t="s">
        <v>371</v>
      </c>
      <c r="AV1" s="74" t="s">
        <v>262</v>
      </c>
      <c r="AW1" s="74" t="s">
        <v>261</v>
      </c>
      <c r="AX1" s="74" t="s">
        <v>371</v>
      </c>
      <c r="AZ1" s="74" t="s">
        <v>244</v>
      </c>
      <c r="BA1" s="74" t="s">
        <v>245</v>
      </c>
      <c r="BB1" s="74" t="s">
        <v>371</v>
      </c>
      <c r="BD1" s="74" t="s">
        <v>250</v>
      </c>
      <c r="BE1" s="74" t="s">
        <v>251</v>
      </c>
      <c r="BF1" s="74" t="s">
        <v>371</v>
      </c>
      <c r="BH1" s="74" t="s">
        <v>252</v>
      </c>
      <c r="BI1" s="74" t="s">
        <v>253</v>
      </c>
      <c r="BJ1" s="74" t="s">
        <v>371</v>
      </c>
      <c r="BL1" s="79" t="s">
        <v>254</v>
      </c>
      <c r="BM1" s="74" t="s">
        <v>255</v>
      </c>
      <c r="BN1" s="74" t="s">
        <v>371</v>
      </c>
      <c r="BP1" s="79" t="s">
        <v>256</v>
      </c>
      <c r="BQ1" s="74" t="s">
        <v>257</v>
      </c>
      <c r="BR1" s="74" t="s">
        <v>371</v>
      </c>
      <c r="BT1" s="79" t="s">
        <v>263</v>
      </c>
      <c r="BU1" s="74" t="s">
        <v>264</v>
      </c>
      <c r="BV1" s="74" t="s">
        <v>371</v>
      </c>
      <c r="BX1" s="79" t="s">
        <v>263</v>
      </c>
      <c r="BY1" s="74" t="s">
        <v>264</v>
      </c>
      <c r="BZ1" s="74" t="s">
        <v>371</v>
      </c>
      <c r="CB1" s="73" t="s">
        <v>210</v>
      </c>
      <c r="CC1" s="73" t="s">
        <v>317</v>
      </c>
    </row>
    <row r="2" spans="1:81">
      <c r="A2" s="7" t="s">
        <v>178</v>
      </c>
      <c r="B2" s="8">
        <v>5133301000</v>
      </c>
      <c r="C2"/>
      <c r="D2"/>
      <c r="F2" s="9" t="s">
        <v>12</v>
      </c>
      <c r="G2" s="10">
        <v>8562000</v>
      </c>
      <c r="H2" s="10" t="s">
        <v>294</v>
      </c>
      <c r="I2" s="3" cm="1">
        <f t="array" ref="I2">INDEX($L$2:$L$23,MATCH(H2,$K$2:$K$23,0),)</f>
        <v>13</v>
      </c>
      <c r="J2" s="11" t="s">
        <v>123</v>
      </c>
      <c r="K2" s="11" t="s">
        <v>123</v>
      </c>
      <c r="L2" s="11">
        <v>1</v>
      </c>
      <c r="N2" s="9" t="s">
        <v>219</v>
      </c>
      <c r="O2" s="8">
        <v>0</v>
      </c>
      <c r="P2" s="11" t="s">
        <v>204</v>
      </c>
      <c r="Q2" s="11" cm="1">
        <f t="array" ref="Q2">INDEX($AG$2:$AG$11,MATCH(P2,$AF$2:$AF$11,0),)</f>
        <v>4</v>
      </c>
      <c r="R2" s="60" cm="1">
        <f t="array" ref="R2">INDEX($BM$2:$BM$11,MATCH(P2,$BL$2:$BL$11,0),)</f>
        <v>7</v>
      </c>
      <c r="T2" s="13">
        <v>0</v>
      </c>
      <c r="U2" s="14">
        <v>4</v>
      </c>
      <c r="V2" s="3" t="s">
        <v>183</v>
      </c>
      <c r="X2" s="13">
        <v>0</v>
      </c>
      <c r="Y2" s="14">
        <v>4</v>
      </c>
      <c r="Z2" s="3" t="s">
        <v>183</v>
      </c>
      <c r="AB2" s="14" t="s">
        <v>243</v>
      </c>
      <c r="AC2" s="14">
        <v>1</v>
      </c>
      <c r="AD2" s="80">
        <v>3</v>
      </c>
      <c r="AE2" s="60"/>
      <c r="AF2" s="3" t="s">
        <v>123</v>
      </c>
      <c r="AG2" s="14">
        <v>1</v>
      </c>
      <c r="AH2" s="15" t="s">
        <v>206</v>
      </c>
      <c r="AJ2" s="13">
        <v>1.01</v>
      </c>
      <c r="AK2" s="14">
        <v>4</v>
      </c>
      <c r="AL2" s="3" t="s">
        <v>209</v>
      </c>
      <c r="AN2" s="13">
        <v>1.01</v>
      </c>
      <c r="AO2" s="14">
        <v>4</v>
      </c>
      <c r="AP2" s="3" t="s">
        <v>209</v>
      </c>
      <c r="AR2" s="13">
        <v>1.01</v>
      </c>
      <c r="AS2" s="14">
        <v>4</v>
      </c>
      <c r="AT2" s="3" t="s">
        <v>209</v>
      </c>
      <c r="AV2" s="15">
        <v>0</v>
      </c>
      <c r="AW2" s="14">
        <v>4</v>
      </c>
      <c r="AX2" s="3" t="s">
        <v>183</v>
      </c>
      <c r="AZ2" s="81">
        <v>30000000000</v>
      </c>
      <c r="BA2" s="14">
        <v>1</v>
      </c>
      <c r="BB2" s="14" t="s">
        <v>246</v>
      </c>
      <c r="BD2" s="3" t="s">
        <v>292</v>
      </c>
      <c r="BE2" s="14">
        <v>1</v>
      </c>
      <c r="BF2" s="14" t="s">
        <v>246</v>
      </c>
      <c r="BH2" s="3" t="s">
        <v>275</v>
      </c>
      <c r="BI2" s="14">
        <v>1</v>
      </c>
      <c r="BJ2" s="14" t="s">
        <v>246</v>
      </c>
      <c r="BL2" s="3" t="s">
        <v>123</v>
      </c>
      <c r="BM2" s="14">
        <v>1</v>
      </c>
      <c r="BN2" s="14" t="s">
        <v>246</v>
      </c>
      <c r="BP2" s="3" t="s">
        <v>258</v>
      </c>
      <c r="BQ2" s="14">
        <v>1</v>
      </c>
      <c r="BR2" s="14" t="s">
        <v>246</v>
      </c>
      <c r="BT2" s="14" t="s">
        <v>242</v>
      </c>
      <c r="BU2" s="14">
        <v>1</v>
      </c>
      <c r="BV2" s="14" t="s">
        <v>246</v>
      </c>
      <c r="BX2" s="14" t="s">
        <v>266</v>
      </c>
      <c r="BY2" s="14">
        <v>1</v>
      </c>
      <c r="BZ2" s="80">
        <v>1</v>
      </c>
      <c r="CB2" s="11" t="s">
        <v>123</v>
      </c>
      <c r="CC2" s="12">
        <v>21</v>
      </c>
    </row>
    <row r="3" spans="1:81">
      <c r="A3" s="7" t="s">
        <v>195</v>
      </c>
      <c r="B3" s="17">
        <v>-10935000</v>
      </c>
      <c r="C3"/>
      <c r="D3"/>
      <c r="F3" s="9" t="s">
        <v>293</v>
      </c>
      <c r="G3" s="10">
        <v>428095000</v>
      </c>
      <c r="H3" s="10" t="s">
        <v>200</v>
      </c>
      <c r="I3" s="3" cm="1">
        <f t="array" ref="I3">INDEX($L$2:$L$23,MATCH(H3,$K$2:$K$23,0),)</f>
        <v>3</v>
      </c>
      <c r="J3" s="11" t="s">
        <v>164</v>
      </c>
      <c r="K3" s="11" t="s">
        <v>302</v>
      </c>
      <c r="L3" s="11">
        <f>+L2+1</f>
        <v>2</v>
      </c>
      <c r="N3" s="9" t="s">
        <v>220</v>
      </c>
      <c r="O3" s="8">
        <v>56914000</v>
      </c>
      <c r="P3" s="11" t="s">
        <v>203</v>
      </c>
      <c r="Q3" s="11" cm="1">
        <f t="array" ref="Q3">INDEX($AG$2:$AG$11,MATCH(P3,$AF$2:$AF$11,0),)</f>
        <v>4</v>
      </c>
      <c r="R3" s="60" cm="1">
        <f t="array" ref="R3">INDEX($BM$2:$BM$11,MATCH(P3,$BL$2:$BL$11,0),)</f>
        <v>6</v>
      </c>
      <c r="T3" s="13">
        <v>0.08</v>
      </c>
      <c r="U3" s="14">
        <v>3</v>
      </c>
      <c r="V3" s="3" t="s">
        <v>208</v>
      </c>
      <c r="X3" s="13">
        <v>0.15</v>
      </c>
      <c r="Y3" s="14">
        <v>3</v>
      </c>
      <c r="Z3" s="3" t="s">
        <v>208</v>
      </c>
      <c r="AB3" s="14" t="s">
        <v>242</v>
      </c>
      <c r="AC3" s="14">
        <v>2</v>
      </c>
      <c r="AD3" s="80">
        <v>2</v>
      </c>
      <c r="AE3" s="60"/>
      <c r="AF3" s="3" t="s">
        <v>200</v>
      </c>
      <c r="AG3" s="14">
        <v>1</v>
      </c>
      <c r="AH3" s="15" t="s">
        <v>206</v>
      </c>
      <c r="AJ3" s="13">
        <v>0.06</v>
      </c>
      <c r="AK3" s="14">
        <v>3</v>
      </c>
      <c r="AL3" s="3" t="s">
        <v>208</v>
      </c>
      <c r="AN3" s="13">
        <v>0.6</v>
      </c>
      <c r="AO3" s="14">
        <v>3</v>
      </c>
      <c r="AP3" s="3" t="s">
        <v>208</v>
      </c>
      <c r="AR3" s="13">
        <v>0.2</v>
      </c>
      <c r="AS3" s="14">
        <v>3</v>
      </c>
      <c r="AT3" s="3" t="s">
        <v>208</v>
      </c>
      <c r="AV3" s="15">
        <v>0.1</v>
      </c>
      <c r="AW3" s="14">
        <v>3</v>
      </c>
      <c r="AX3" s="3" t="s">
        <v>208</v>
      </c>
      <c r="AZ3" s="81">
        <f>30000000000-0.0000000000000001</f>
        <v>30000000000</v>
      </c>
      <c r="BA3" s="14">
        <v>2</v>
      </c>
      <c r="BB3" s="14" t="s">
        <v>247</v>
      </c>
      <c r="BD3" s="3" t="s">
        <v>291</v>
      </c>
      <c r="BE3" s="14">
        <v>2</v>
      </c>
      <c r="BF3" s="14" t="s">
        <v>247</v>
      </c>
      <c r="BH3" s="3" t="s">
        <v>276</v>
      </c>
      <c r="BI3" s="14">
        <v>2</v>
      </c>
      <c r="BJ3" s="14" t="s">
        <v>247</v>
      </c>
      <c r="BL3" s="3" t="s">
        <v>200</v>
      </c>
      <c r="BM3" s="14">
        <v>2</v>
      </c>
      <c r="BN3" s="14" t="s">
        <v>246</v>
      </c>
      <c r="BP3" s="3" t="s">
        <v>259</v>
      </c>
      <c r="BQ3" s="14">
        <v>2</v>
      </c>
      <c r="BR3" s="14" t="s">
        <v>247</v>
      </c>
      <c r="BT3" s="14" t="s">
        <v>208</v>
      </c>
      <c r="BU3" s="14">
        <v>2</v>
      </c>
      <c r="BV3" s="14" t="s">
        <v>247</v>
      </c>
      <c r="BX3" s="14" t="s">
        <v>242</v>
      </c>
      <c r="BY3" s="14">
        <v>2</v>
      </c>
      <c r="BZ3" s="80">
        <v>0</v>
      </c>
      <c r="CB3" s="11" t="s">
        <v>302</v>
      </c>
      <c r="CC3" s="12">
        <v>20</v>
      </c>
    </row>
    <row r="4" spans="1:81">
      <c r="A4" s="7" t="s">
        <v>8</v>
      </c>
      <c r="B4" s="17">
        <v>5204953000</v>
      </c>
      <c r="C4"/>
      <c r="D4"/>
      <c r="F4" s="9" t="s">
        <v>10</v>
      </c>
      <c r="G4" s="10">
        <v>8562000</v>
      </c>
      <c r="H4" s="10" t="s">
        <v>295</v>
      </c>
      <c r="I4" s="3" cm="1">
        <f t="array" ref="I4">INDEX($L$2:$L$23,MATCH(H4,$K$2:$K$23,0),)</f>
        <v>14</v>
      </c>
      <c r="J4" s="11" t="s">
        <v>111</v>
      </c>
      <c r="K4" s="11" t="s">
        <v>200</v>
      </c>
      <c r="L4" s="11">
        <f t="shared" ref="L4:L22" si="0">+L3+1</f>
        <v>3</v>
      </c>
      <c r="N4" s="9" t="s">
        <v>221</v>
      </c>
      <c r="O4" s="8">
        <v>18528000</v>
      </c>
      <c r="P4" s="11" t="s">
        <v>201</v>
      </c>
      <c r="Q4" s="11" cm="1">
        <f t="array" ref="Q4">INDEX($AG$2:$AG$11,MATCH(P4,$AF$2:$AF$11,0),)</f>
        <v>2</v>
      </c>
      <c r="R4" s="60" cm="1">
        <f t="array" ref="R4">INDEX($BM$2:$BM$11,MATCH(P4,$BL$2:$BL$11,0),)</f>
        <v>4</v>
      </c>
      <c r="T4" s="13">
        <v>0.15</v>
      </c>
      <c r="U4" s="14">
        <v>2</v>
      </c>
      <c r="V4" s="3" t="s">
        <v>242</v>
      </c>
      <c r="X4" s="13">
        <v>0.25</v>
      </c>
      <c r="Y4" s="14">
        <v>2</v>
      </c>
      <c r="Z4" s="3" t="s">
        <v>242</v>
      </c>
      <c r="AB4" s="14" t="s">
        <v>208</v>
      </c>
      <c r="AC4" s="14">
        <v>3</v>
      </c>
      <c r="AD4" s="80">
        <v>1</v>
      </c>
      <c r="AE4" s="60"/>
      <c r="AF4" s="3" t="s">
        <v>116</v>
      </c>
      <c r="AG4" s="14">
        <v>1</v>
      </c>
      <c r="AH4" s="15" t="s">
        <v>206</v>
      </c>
      <c r="AJ4" s="13">
        <v>0.03</v>
      </c>
      <c r="AK4" s="14">
        <v>2</v>
      </c>
      <c r="AL4" s="3" t="s">
        <v>207</v>
      </c>
      <c r="AN4" s="13">
        <v>0.4</v>
      </c>
      <c r="AO4" s="14">
        <v>2</v>
      </c>
      <c r="AP4" s="3" t="s">
        <v>207</v>
      </c>
      <c r="AR4" s="13">
        <v>0.1</v>
      </c>
      <c r="AS4" s="14">
        <v>2</v>
      </c>
      <c r="AT4" s="3" t="s">
        <v>207</v>
      </c>
      <c r="AV4" s="15">
        <v>0.4</v>
      </c>
      <c r="AW4" s="14">
        <v>2</v>
      </c>
      <c r="AX4" s="3" t="s">
        <v>242</v>
      </c>
      <c r="AZ4" s="81">
        <f>5000000000-0.000001</f>
        <v>4999999999.999999</v>
      </c>
      <c r="BA4" s="14">
        <v>3</v>
      </c>
      <c r="BB4" s="14" t="s">
        <v>248</v>
      </c>
      <c r="BD4" s="3" t="s">
        <v>249</v>
      </c>
      <c r="BE4" s="14">
        <v>3</v>
      </c>
      <c r="BF4" s="14" t="s">
        <v>248</v>
      </c>
      <c r="BH4" s="3" t="s">
        <v>277</v>
      </c>
      <c r="BI4" s="14">
        <v>3</v>
      </c>
      <c r="BJ4" s="14" t="s">
        <v>248</v>
      </c>
      <c r="BL4" s="3" t="s">
        <v>116</v>
      </c>
      <c r="BM4" s="14">
        <v>3</v>
      </c>
      <c r="BN4" s="14" t="s">
        <v>246</v>
      </c>
      <c r="BP4" s="3" t="s">
        <v>260</v>
      </c>
      <c r="BQ4" s="14">
        <v>3</v>
      </c>
      <c r="BR4" s="14" t="s">
        <v>248</v>
      </c>
      <c r="BT4" s="14" t="s">
        <v>265</v>
      </c>
      <c r="BU4" s="14">
        <v>3</v>
      </c>
      <c r="BV4" s="14" t="s">
        <v>248</v>
      </c>
      <c r="BX4" s="14" t="s">
        <v>183</v>
      </c>
      <c r="BY4" s="14">
        <v>3</v>
      </c>
      <c r="BZ4" s="80">
        <v>-1</v>
      </c>
      <c r="CB4" s="11" t="s">
        <v>200</v>
      </c>
      <c r="CC4" s="12">
        <v>19</v>
      </c>
    </row>
    <row r="5" spans="1:81" ht="15">
      <c r="A5" s="18" t="s">
        <v>60</v>
      </c>
      <c r="B5" s="24">
        <f>SUM(B3:B4)</f>
        <v>5194018000</v>
      </c>
      <c r="C5"/>
      <c r="D5"/>
      <c r="F5" s="9" t="s">
        <v>24</v>
      </c>
      <c r="G5" s="10">
        <v>35674000</v>
      </c>
      <c r="H5" s="10" t="s">
        <v>203</v>
      </c>
      <c r="I5" s="3" cm="1">
        <f t="array" ref="I5">INDEX($L$2:$L$23,MATCH(H5,$K$2:$K$23,0),)</f>
        <v>15</v>
      </c>
      <c r="J5" s="11" t="s">
        <v>107</v>
      </c>
      <c r="K5" s="11" t="s">
        <v>297</v>
      </c>
      <c r="L5" s="11">
        <f t="shared" si="0"/>
        <v>4</v>
      </c>
      <c r="N5" s="9" t="s">
        <v>222</v>
      </c>
      <c r="O5" s="8">
        <v>35152000</v>
      </c>
      <c r="P5" s="11" t="s">
        <v>212</v>
      </c>
      <c r="Q5" s="11" cm="1">
        <f t="array" ref="Q5">INDEX($AG$2:$AG$11,MATCH(P5,$AF$2:$AF$11,0),)</f>
        <v>4</v>
      </c>
      <c r="R5" s="60" cm="1">
        <f t="array" ref="R5">INDEX($BM$2:$BM$11,MATCH(P5,$BL$2:$BL$11,0),)</f>
        <v>9</v>
      </c>
      <c r="T5" s="13">
        <v>0.25</v>
      </c>
      <c r="U5" s="14">
        <v>1</v>
      </c>
      <c r="V5" s="3" t="s">
        <v>243</v>
      </c>
      <c r="X5" s="13">
        <v>0.35</v>
      </c>
      <c r="Y5" s="14">
        <v>1</v>
      </c>
      <c r="Z5" s="3" t="s">
        <v>243</v>
      </c>
      <c r="AB5" s="14" t="s">
        <v>183</v>
      </c>
      <c r="AC5" s="14">
        <v>3</v>
      </c>
      <c r="AD5" s="80">
        <v>0</v>
      </c>
      <c r="AE5" s="60"/>
      <c r="AF5" s="3" t="s">
        <v>201</v>
      </c>
      <c r="AG5" s="14">
        <v>2</v>
      </c>
      <c r="AH5" s="15" t="s">
        <v>207</v>
      </c>
      <c r="AJ5" s="13">
        <v>0.01</v>
      </c>
      <c r="AK5" s="14">
        <v>1</v>
      </c>
      <c r="AL5" s="3" t="s">
        <v>206</v>
      </c>
      <c r="AN5" s="13">
        <v>0.2</v>
      </c>
      <c r="AO5" s="14">
        <v>1</v>
      </c>
      <c r="AP5" s="3" t="s">
        <v>206</v>
      </c>
      <c r="AR5" s="13">
        <v>0.05</v>
      </c>
      <c r="AS5" s="14">
        <v>1</v>
      </c>
      <c r="AT5" s="3" t="s">
        <v>206</v>
      </c>
      <c r="AV5" s="15">
        <v>0.7</v>
      </c>
      <c r="AW5" s="14">
        <v>1</v>
      </c>
      <c r="AX5" s="3" t="s">
        <v>243</v>
      </c>
      <c r="AZ5" s="81"/>
      <c r="BA5" s="14"/>
      <c r="BB5" s="14"/>
      <c r="BL5" s="3" t="s">
        <v>201</v>
      </c>
      <c r="BM5" s="14">
        <v>4</v>
      </c>
      <c r="BN5" s="14" t="s">
        <v>246</v>
      </c>
      <c r="BX5" s="14" t="s">
        <v>267</v>
      </c>
      <c r="BY5" s="14">
        <v>3</v>
      </c>
      <c r="BZ5" s="80">
        <v>-2</v>
      </c>
      <c r="CB5" s="11" t="s">
        <v>297</v>
      </c>
      <c r="CC5" s="12">
        <v>18</v>
      </c>
    </row>
    <row r="6" spans="1:81">
      <c r="A6" s="7" t="s">
        <v>52</v>
      </c>
      <c r="B6" s="17">
        <v>0</v>
      </c>
      <c r="C6"/>
      <c r="D6"/>
      <c r="E6" s="60"/>
      <c r="F6" s="9" t="s">
        <v>9</v>
      </c>
      <c r="G6" s="10">
        <v>171238000</v>
      </c>
      <c r="H6" s="10" t="s">
        <v>212</v>
      </c>
      <c r="I6" s="3" cm="1">
        <f t="array" ref="I6">INDEX($L$2:$L$23,MATCH(H6,$K$2:$K$23,0),)</f>
        <v>21</v>
      </c>
      <c r="J6" s="11" t="s">
        <v>108</v>
      </c>
      <c r="K6" s="11" t="s">
        <v>303</v>
      </c>
      <c r="L6" s="11">
        <f t="shared" si="0"/>
        <v>5</v>
      </c>
      <c r="N6" s="9" t="s">
        <v>223</v>
      </c>
      <c r="O6" s="8">
        <v>110227000</v>
      </c>
      <c r="P6" s="11" t="s">
        <v>203</v>
      </c>
      <c r="Q6" s="11" cm="1">
        <f t="array" ref="Q6">INDEX($AG$2:$AG$11,MATCH(P6,$AF$2:$AF$11,0),)</f>
        <v>4</v>
      </c>
      <c r="R6" s="60" cm="1">
        <f t="array" ref="R6">INDEX($BM$2:$BM$11,MATCH(P6,$BL$2:$BL$11,0),)</f>
        <v>6</v>
      </c>
      <c r="T6" s="60"/>
      <c r="U6" s="60"/>
      <c r="V6" s="60"/>
      <c r="W6" s="60"/>
      <c r="X6" s="60"/>
      <c r="Y6" s="60"/>
      <c r="Z6" s="60"/>
      <c r="AE6" s="60"/>
      <c r="AF6" s="3" t="s">
        <v>202</v>
      </c>
      <c r="AG6" s="14">
        <v>3</v>
      </c>
      <c r="AH6" s="15" t="s">
        <v>208</v>
      </c>
      <c r="BB6" s="14"/>
      <c r="BL6" s="3" t="s">
        <v>202</v>
      </c>
      <c r="BM6" s="14">
        <v>5</v>
      </c>
      <c r="BN6" s="14" t="s">
        <v>247</v>
      </c>
      <c r="CB6" s="11" t="s">
        <v>303</v>
      </c>
      <c r="CC6" s="12">
        <v>17</v>
      </c>
    </row>
    <row r="7" spans="1:81">
      <c r="A7" s="7" t="s">
        <v>268</v>
      </c>
      <c r="B7" s="8">
        <v>1814281000</v>
      </c>
      <c r="C7"/>
      <c r="D7"/>
      <c r="F7" s="9" t="s">
        <v>21</v>
      </c>
      <c r="G7" s="10">
        <v>1027429000</v>
      </c>
      <c r="H7" s="10" t="s">
        <v>116</v>
      </c>
      <c r="I7" s="3" cm="1">
        <f t="array" ref="I7">INDEX($L$2:$L$23,MATCH(H7,$K$2:$K$23,0),)</f>
        <v>6</v>
      </c>
      <c r="J7" s="11" t="s">
        <v>165</v>
      </c>
      <c r="K7" s="11" t="s">
        <v>116</v>
      </c>
      <c r="L7" s="11">
        <f t="shared" si="0"/>
        <v>6</v>
      </c>
      <c r="N7" s="9" t="s">
        <v>28</v>
      </c>
      <c r="O7" s="8">
        <v>6005000</v>
      </c>
      <c r="P7" s="11" t="s">
        <v>212</v>
      </c>
      <c r="Q7" s="11" cm="1">
        <f t="array" ref="Q7">INDEX($AG$2:$AG$11,MATCH(P7,$AF$2:$AF$11,0),)</f>
        <v>4</v>
      </c>
      <c r="R7" s="60" cm="1">
        <f t="array" ref="R7">INDEX($BM$2:$BM$11,MATCH(P7,$BL$2:$BL$11,0),)</f>
        <v>9</v>
      </c>
      <c r="T7" s="60"/>
      <c r="U7" s="60"/>
      <c r="V7" s="60"/>
      <c r="W7" s="60"/>
      <c r="X7" s="60"/>
      <c r="Y7" s="60"/>
      <c r="Z7" s="60"/>
      <c r="AE7" s="60"/>
      <c r="AF7" s="3" t="s">
        <v>203</v>
      </c>
      <c r="AG7" s="14">
        <v>4</v>
      </c>
      <c r="AH7" s="15" t="s">
        <v>209</v>
      </c>
      <c r="BL7" s="3" t="s">
        <v>203</v>
      </c>
      <c r="BM7" s="14">
        <v>6</v>
      </c>
      <c r="BN7" s="14" t="s">
        <v>248</v>
      </c>
      <c r="CB7" s="11" t="s">
        <v>116</v>
      </c>
      <c r="CC7" s="12">
        <v>16</v>
      </c>
    </row>
    <row r="8" spans="1:81">
      <c r="A8" s="7" t="s">
        <v>269</v>
      </c>
      <c r="B8" s="8">
        <v>45844000</v>
      </c>
      <c r="C8"/>
      <c r="D8"/>
      <c r="F8" s="9" t="s">
        <v>22</v>
      </c>
      <c r="G8" s="10">
        <v>8562000</v>
      </c>
      <c r="H8" s="10" t="s">
        <v>212</v>
      </c>
      <c r="I8" s="3" cm="1">
        <f t="array" ref="I8">INDEX($L$2:$L$23,MATCH(H8,$K$2:$K$23,0),)</f>
        <v>21</v>
      </c>
      <c r="J8" s="11" t="s">
        <v>166</v>
      </c>
      <c r="K8" s="11" t="s">
        <v>304</v>
      </c>
      <c r="L8" s="11">
        <f t="shared" si="0"/>
        <v>7</v>
      </c>
      <c r="N8" s="9" t="s">
        <v>224</v>
      </c>
      <c r="O8" s="8">
        <v>60377000</v>
      </c>
      <c r="P8" s="11" t="s">
        <v>212</v>
      </c>
      <c r="Q8" s="11" cm="1">
        <f t="array" ref="Q8">INDEX($AG$2:$AG$11,MATCH(P8,$AF$2:$AF$11,0),)</f>
        <v>4</v>
      </c>
      <c r="R8" s="60" cm="1">
        <f t="array" ref="R8">INDEX($BM$2:$BM$11,MATCH(P8,$BL$2:$BL$11,0),)</f>
        <v>9</v>
      </c>
      <c r="T8" s="60"/>
      <c r="U8" s="60"/>
      <c r="V8" s="60"/>
      <c r="W8" s="60"/>
      <c r="X8" s="60"/>
      <c r="Y8" s="60"/>
      <c r="Z8" s="60"/>
      <c r="AE8" s="60"/>
      <c r="AF8" s="3" t="s">
        <v>204</v>
      </c>
      <c r="AG8" s="14">
        <v>4</v>
      </c>
      <c r="AH8" s="15" t="s">
        <v>209</v>
      </c>
      <c r="BL8" s="3" t="s">
        <v>204</v>
      </c>
      <c r="BM8" s="14">
        <v>7</v>
      </c>
      <c r="BN8" s="14" t="s">
        <v>248</v>
      </c>
      <c r="CB8" s="11" t="s">
        <v>304</v>
      </c>
      <c r="CC8" s="12">
        <v>15</v>
      </c>
    </row>
    <row r="9" spans="1:81">
      <c r="A9" s="7" t="s">
        <v>78</v>
      </c>
      <c r="B9" s="17">
        <v>64213000</v>
      </c>
      <c r="C9"/>
      <c r="D9"/>
      <c r="F9" s="9" t="s">
        <v>23</v>
      </c>
      <c r="G9" s="10">
        <v>4757000</v>
      </c>
      <c r="H9" s="10" t="s">
        <v>212</v>
      </c>
      <c r="I9" s="3" cm="1">
        <f t="array" ref="I9">INDEX($L$2:$L$23,MATCH(H9,$K$2:$K$23,0),)</f>
        <v>21</v>
      </c>
      <c r="J9" s="11" t="s">
        <v>167</v>
      </c>
      <c r="K9" s="11" t="s">
        <v>305</v>
      </c>
      <c r="L9" s="11">
        <f t="shared" si="0"/>
        <v>8</v>
      </c>
      <c r="N9" s="9" t="s">
        <v>225</v>
      </c>
      <c r="O9" s="8">
        <v>44813000</v>
      </c>
      <c r="P9" s="11" t="s">
        <v>203</v>
      </c>
      <c r="Q9" s="11" cm="1">
        <f t="array" ref="Q9">INDEX($AG$2:$AG$11,MATCH(P9,$AF$2:$AF$11,0),)</f>
        <v>4</v>
      </c>
      <c r="R9" s="60" cm="1">
        <f t="array" ref="R9">INDEX($BM$2:$BM$11,MATCH(P9,$BL$2:$BL$11,0),)</f>
        <v>6</v>
      </c>
      <c r="T9" s="60"/>
      <c r="U9" s="60"/>
      <c r="V9" s="60"/>
      <c r="W9" s="60"/>
      <c r="X9" s="60"/>
      <c r="Y9" s="60"/>
      <c r="Z9" s="60"/>
      <c r="AE9" s="60"/>
      <c r="AF9" s="3" t="s">
        <v>205</v>
      </c>
      <c r="AG9" s="14">
        <v>4</v>
      </c>
      <c r="AH9" s="15" t="s">
        <v>209</v>
      </c>
      <c r="BL9" s="3" t="s">
        <v>205</v>
      </c>
      <c r="BM9" s="14">
        <v>8</v>
      </c>
      <c r="BN9" s="14" t="s">
        <v>248</v>
      </c>
      <c r="CB9" s="11" t="s">
        <v>305</v>
      </c>
      <c r="CC9" s="12">
        <v>14</v>
      </c>
    </row>
    <row r="10" spans="1:81" ht="15">
      <c r="A10" s="18" t="s">
        <v>270</v>
      </c>
      <c r="B10" s="19">
        <f>SUM(B7:B9)</f>
        <v>1924338000</v>
      </c>
      <c r="C10"/>
      <c r="D10"/>
      <c r="F10" s="9" t="s">
        <v>26</v>
      </c>
      <c r="G10" s="10">
        <v>599333000</v>
      </c>
      <c r="H10" s="10" t="s">
        <v>296</v>
      </c>
      <c r="I10" s="3" cm="1">
        <f t="array" ref="I10">INDEX($L$2:$L$23,MATCH(H10,$K$2:$K$23,0),)</f>
        <v>16</v>
      </c>
      <c r="J10" s="11" t="s">
        <v>168</v>
      </c>
      <c r="K10" s="11" t="s">
        <v>201</v>
      </c>
      <c r="L10" s="11">
        <f t="shared" si="0"/>
        <v>9</v>
      </c>
      <c r="N10" s="9" t="s">
        <v>226</v>
      </c>
      <c r="O10" s="8">
        <v>13795000</v>
      </c>
      <c r="P10" s="11" t="s">
        <v>204</v>
      </c>
      <c r="Q10" s="11" cm="1">
        <f t="array" ref="Q10">INDEX($AG$2:$AG$11,MATCH(P10,$AF$2:$AF$11,0),)</f>
        <v>4</v>
      </c>
      <c r="R10" s="60" cm="1">
        <f t="array" ref="R10">INDEX($BM$2:$BM$11,MATCH(P10,$BL$2:$BL$11,0),)</f>
        <v>7</v>
      </c>
      <c r="T10" s="60"/>
      <c r="U10" s="60"/>
      <c r="V10" s="60"/>
      <c r="W10" s="60"/>
      <c r="X10" s="60"/>
      <c r="Y10" s="60"/>
      <c r="Z10" s="60"/>
      <c r="AE10" s="60"/>
      <c r="AF10" s="3" t="s">
        <v>175</v>
      </c>
      <c r="AG10" s="14">
        <v>4</v>
      </c>
      <c r="AH10" s="15" t="s">
        <v>209</v>
      </c>
      <c r="BL10" s="3" t="s">
        <v>175</v>
      </c>
      <c r="BM10" s="14">
        <v>9</v>
      </c>
      <c r="BN10" s="14" t="s">
        <v>248</v>
      </c>
      <c r="CB10" s="11" t="s">
        <v>201</v>
      </c>
      <c r="CC10" s="12">
        <v>13</v>
      </c>
    </row>
    <row r="11" spans="1:81" ht="15">
      <c r="A11" s="7" t="s">
        <v>272</v>
      </c>
      <c r="B11" s="19">
        <v>0</v>
      </c>
      <c r="C11"/>
      <c r="D11"/>
      <c r="F11" s="9" t="s">
        <v>18</v>
      </c>
      <c r="G11" s="10">
        <v>51372000</v>
      </c>
      <c r="H11" s="10" t="s">
        <v>294</v>
      </c>
      <c r="I11" s="3" cm="1">
        <f t="array" ref="I11">INDEX($L$2:$L$23,MATCH(H11,$K$2:$K$23,0),)</f>
        <v>13</v>
      </c>
      <c r="J11" s="11" t="s">
        <v>169</v>
      </c>
      <c r="K11" s="11" t="s">
        <v>298</v>
      </c>
      <c r="L11" s="11">
        <f t="shared" si="0"/>
        <v>10</v>
      </c>
      <c r="N11" s="9" t="s">
        <v>227</v>
      </c>
      <c r="O11" s="8">
        <v>38636000</v>
      </c>
      <c r="P11" s="11" t="s">
        <v>204</v>
      </c>
      <c r="Q11" s="11" cm="1">
        <f t="array" ref="Q11">INDEX($AG$2:$AG$11,MATCH(P11,$AF$2:$AF$11,0),)</f>
        <v>4</v>
      </c>
      <c r="R11" s="60" cm="1">
        <f t="array" ref="R11">INDEX($BM$2:$BM$11,MATCH(P11,$BL$2:$BL$11,0),)</f>
        <v>7</v>
      </c>
      <c r="T11" s="60"/>
      <c r="U11" s="60"/>
      <c r="V11" s="60"/>
      <c r="W11" s="60"/>
      <c r="X11" s="60"/>
      <c r="Y11" s="60"/>
      <c r="Z11" s="60"/>
      <c r="AE11" s="60"/>
      <c r="AF11" s="3" t="s">
        <v>212</v>
      </c>
      <c r="AG11" s="14">
        <v>4</v>
      </c>
      <c r="AH11" s="15" t="s">
        <v>209</v>
      </c>
      <c r="BL11" s="3" t="s">
        <v>212</v>
      </c>
      <c r="BM11" s="146">
        <v>9</v>
      </c>
      <c r="BN11" s="146" t="s">
        <v>248</v>
      </c>
      <c r="CB11" s="11" t="s">
        <v>298</v>
      </c>
      <c r="CC11" s="12">
        <v>12</v>
      </c>
    </row>
    <row r="12" spans="1:81">
      <c r="A12" s="21" t="s">
        <v>375</v>
      </c>
      <c r="B12" s="17">
        <v>799572000</v>
      </c>
      <c r="C12"/>
      <c r="D12"/>
      <c r="F12" s="9" t="s">
        <v>19</v>
      </c>
      <c r="G12" s="10">
        <v>8562000</v>
      </c>
      <c r="H12" s="10" t="s">
        <v>212</v>
      </c>
      <c r="I12" s="3" cm="1">
        <f t="array" ref="I12">INDEX($L$2:$L$23,MATCH(H12,$K$2:$K$23,0),)</f>
        <v>21</v>
      </c>
      <c r="J12" s="11" t="s">
        <v>109</v>
      </c>
      <c r="K12" s="11" t="s">
        <v>306</v>
      </c>
      <c r="L12" s="11">
        <f t="shared" si="0"/>
        <v>11</v>
      </c>
      <c r="N12" s="9" t="s">
        <v>228</v>
      </c>
      <c r="O12" s="8">
        <v>17807000</v>
      </c>
      <c r="P12" s="11" t="s">
        <v>212</v>
      </c>
      <c r="Q12" s="11" cm="1">
        <f t="array" ref="Q12">INDEX($AG$2:$AG$11,MATCH(P12,$AF$2:$AF$11,0),)</f>
        <v>4</v>
      </c>
      <c r="R12" s="60" cm="1">
        <f t="array" ref="R12">INDEX($BM$2:$BM$11,MATCH(P12,$BL$2:$BL$11,0),)</f>
        <v>9</v>
      </c>
      <c r="T12" s="60"/>
      <c r="U12" s="60"/>
      <c r="V12" s="60"/>
      <c r="W12" s="60"/>
      <c r="X12" s="60"/>
      <c r="Y12" s="60"/>
      <c r="Z12" s="60"/>
      <c r="AE12" s="60"/>
      <c r="CB12" s="11" t="s">
        <v>306</v>
      </c>
      <c r="CC12" s="12">
        <v>11</v>
      </c>
    </row>
    <row r="13" spans="1:81">
      <c r="A13" s="21" t="s">
        <v>333</v>
      </c>
      <c r="B13" s="17">
        <f>-10935000+12940000</f>
        <v>2005000</v>
      </c>
      <c r="C13"/>
      <c r="D13"/>
      <c r="F13" s="9" t="s">
        <v>20</v>
      </c>
      <c r="G13" s="10">
        <v>342476000</v>
      </c>
      <c r="H13" s="10" t="s">
        <v>297</v>
      </c>
      <c r="I13" s="3" cm="1">
        <f t="array" ref="I13">INDEX($L$2:$L$23,MATCH(H13,$K$2:$K$23,0),)</f>
        <v>4</v>
      </c>
      <c r="J13" s="11" t="s">
        <v>170</v>
      </c>
      <c r="K13" s="11" t="s">
        <v>202</v>
      </c>
      <c r="L13" s="11">
        <f t="shared" si="0"/>
        <v>12</v>
      </c>
      <c r="N13" s="9" t="s">
        <v>229</v>
      </c>
      <c r="O13" s="8">
        <v>44243000</v>
      </c>
      <c r="P13" s="11" t="s">
        <v>203</v>
      </c>
      <c r="Q13" s="11" cm="1">
        <f t="array" ref="Q13">INDEX($AG$2:$AG$11,MATCH(P13,$AF$2:$AF$11,0),)</f>
        <v>4</v>
      </c>
      <c r="R13" s="60" cm="1">
        <f t="array" ref="R13">INDEX($BM$2:$BM$11,MATCH(P13,$BL$2:$BL$11,0),)</f>
        <v>6</v>
      </c>
      <c r="T13" s="60"/>
      <c r="U13" s="60"/>
      <c r="V13" s="60"/>
      <c r="W13" s="60"/>
      <c r="X13" s="60"/>
      <c r="Y13" s="60"/>
      <c r="Z13" s="60"/>
      <c r="AE13" s="60"/>
      <c r="CB13" s="11" t="s">
        <v>202</v>
      </c>
      <c r="CC13" s="12">
        <v>10</v>
      </c>
    </row>
    <row r="14" spans="1:81">
      <c r="A14" s="21" t="s">
        <v>79</v>
      </c>
      <c r="B14" s="17">
        <v>716175000</v>
      </c>
      <c r="C14"/>
      <c r="D14"/>
      <c r="F14" s="9" t="s">
        <v>13</v>
      </c>
      <c r="G14" s="10">
        <v>627873000</v>
      </c>
      <c r="H14" s="10" t="s">
        <v>200</v>
      </c>
      <c r="I14" s="3" cm="1">
        <f t="array" ref="I14">INDEX($L$2:$L$23,MATCH(H14,$K$2:$K$23,0),)</f>
        <v>3</v>
      </c>
      <c r="J14" s="11" t="s">
        <v>110</v>
      </c>
      <c r="K14" s="11" t="s">
        <v>294</v>
      </c>
      <c r="L14" s="11">
        <f t="shared" si="0"/>
        <v>13</v>
      </c>
      <c r="M14" s="82"/>
      <c r="N14" s="9" t="s">
        <v>230</v>
      </c>
      <c r="O14" s="8">
        <v>94000</v>
      </c>
      <c r="P14" s="11" t="s">
        <v>212</v>
      </c>
      <c r="Q14" s="11" cm="1">
        <f t="array" ref="Q14">INDEX($AG$2:$AG$11,MATCH(P14,$AF$2:$AF$11,0),)</f>
        <v>4</v>
      </c>
      <c r="R14" s="60" cm="1">
        <f t="array" ref="R14">INDEX($BM$2:$BM$11,MATCH(P14,$BL$2:$BL$11,0),)</f>
        <v>9</v>
      </c>
      <c r="T14" s="60"/>
      <c r="U14" s="60"/>
      <c r="V14" s="60"/>
      <c r="W14" s="60"/>
      <c r="X14" s="60"/>
      <c r="Y14" s="60"/>
      <c r="Z14" s="60"/>
      <c r="AE14" s="60"/>
      <c r="CB14" s="11" t="s">
        <v>294</v>
      </c>
      <c r="CC14" s="12">
        <v>9</v>
      </c>
    </row>
    <row r="15" spans="1:81">
      <c r="A15" s="21" t="s">
        <v>332</v>
      </c>
      <c r="B15" s="17">
        <v>57018000</v>
      </c>
      <c r="C15"/>
      <c r="D15"/>
      <c r="F15" s="9" t="s">
        <v>14</v>
      </c>
      <c r="G15" s="10">
        <v>28540000</v>
      </c>
      <c r="H15" s="10" t="s">
        <v>212</v>
      </c>
      <c r="I15" s="3" cm="1">
        <f t="array" ref="I15">INDEX($L$2:$L$23,MATCH(H15,$K$2:$K$23,0),)</f>
        <v>21</v>
      </c>
      <c r="J15" s="11" t="s">
        <v>112</v>
      </c>
      <c r="K15" s="11" t="s">
        <v>295</v>
      </c>
      <c r="L15" s="11">
        <f t="shared" si="0"/>
        <v>14</v>
      </c>
      <c r="N15" s="9" t="s">
        <v>231</v>
      </c>
      <c r="O15" s="8">
        <v>17004000</v>
      </c>
      <c r="P15" s="11" t="s">
        <v>212</v>
      </c>
      <c r="Q15" s="11" cm="1">
        <f t="array" ref="Q15">INDEX($AG$2:$AG$11,MATCH(P15,$AF$2:$AF$11,0),)</f>
        <v>4</v>
      </c>
      <c r="R15" s="60" cm="1">
        <f t="array" ref="R15">INDEX($BM$2:$BM$11,MATCH(P15,$BL$2:$BL$11,0),)</f>
        <v>9</v>
      </c>
      <c r="T15" s="60"/>
      <c r="U15" s="60"/>
      <c r="V15" s="60"/>
      <c r="W15" s="60"/>
      <c r="X15" s="60"/>
      <c r="Y15" s="60"/>
      <c r="Z15" s="60"/>
      <c r="AE15" s="60"/>
      <c r="CB15" s="11" t="s">
        <v>295</v>
      </c>
      <c r="CC15" s="12">
        <v>8</v>
      </c>
    </row>
    <row r="16" spans="1:81" ht="15">
      <c r="A16" s="23" t="s">
        <v>36</v>
      </c>
      <c r="B16" s="24">
        <f>SUM(B12,B15)</f>
        <v>856590000</v>
      </c>
      <c r="C16"/>
      <c r="D16"/>
      <c r="F16" s="9" t="s">
        <v>15</v>
      </c>
      <c r="G16" s="10">
        <v>570794000</v>
      </c>
      <c r="H16" s="10" t="s">
        <v>212</v>
      </c>
      <c r="I16" s="3" cm="1">
        <f t="array" ref="I16">INDEX($L$2:$L$23,MATCH(H16,$K$2:$K$23,0),)</f>
        <v>21</v>
      </c>
      <c r="J16" s="11" t="s">
        <v>105</v>
      </c>
      <c r="K16" s="11" t="s">
        <v>203</v>
      </c>
      <c r="L16" s="11">
        <f t="shared" si="0"/>
        <v>15</v>
      </c>
      <c r="N16" s="9" t="s">
        <v>232</v>
      </c>
      <c r="O16" s="8">
        <v>97636000</v>
      </c>
      <c r="P16" s="11" t="s">
        <v>203</v>
      </c>
      <c r="Q16" s="11" cm="1">
        <f t="array" ref="Q16">INDEX($AG$2:$AG$11,MATCH(P16,$AF$2:$AF$11,0),)</f>
        <v>4</v>
      </c>
      <c r="R16" s="60" cm="1">
        <f t="array" ref="R16">INDEX($BM$2:$BM$11,MATCH(P16,$BL$2:$BL$11,0),)</f>
        <v>6</v>
      </c>
      <c r="T16" s="60"/>
      <c r="U16" s="60"/>
      <c r="V16" s="60"/>
      <c r="W16" s="60"/>
      <c r="X16" s="60"/>
      <c r="Y16" s="60"/>
      <c r="Z16" s="60"/>
      <c r="AE16" s="60"/>
      <c r="CB16" s="25" t="s">
        <v>203</v>
      </c>
      <c r="CC16" s="12">
        <v>7</v>
      </c>
    </row>
    <row r="17" spans="1:81">
      <c r="A17" s="21" t="s">
        <v>287</v>
      </c>
      <c r="B17" s="17">
        <v>1467114000</v>
      </c>
      <c r="C17"/>
      <c r="D17"/>
      <c r="F17" s="9" t="s">
        <v>11</v>
      </c>
      <c r="G17" s="10">
        <v>8562000</v>
      </c>
      <c r="H17" s="10" t="s">
        <v>295</v>
      </c>
      <c r="I17" s="3" cm="1">
        <f t="array" ref="I17">INDEX($L$2:$L$23,MATCH(H17,$K$2:$K$23,0),)</f>
        <v>14</v>
      </c>
      <c r="J17" s="11" t="s">
        <v>171</v>
      </c>
      <c r="K17" s="11" t="s">
        <v>296</v>
      </c>
      <c r="L17" s="11">
        <f t="shared" si="0"/>
        <v>16</v>
      </c>
      <c r="N17" s="9" t="s">
        <v>233</v>
      </c>
      <c r="O17" s="8">
        <v>1542000</v>
      </c>
      <c r="P17" s="11" t="s">
        <v>204</v>
      </c>
      <c r="Q17" s="11" cm="1">
        <f t="array" ref="Q17">INDEX($AG$2:$AG$11,MATCH(P17,$AF$2:$AF$11,0),)</f>
        <v>4</v>
      </c>
      <c r="R17" s="60" cm="1">
        <f t="array" ref="R17">INDEX($BM$2:$BM$11,MATCH(P17,$BL$2:$BL$11,0),)</f>
        <v>7</v>
      </c>
      <c r="T17" s="60"/>
      <c r="U17" s="60"/>
      <c r="V17" s="60"/>
      <c r="W17" s="60"/>
      <c r="X17" s="60"/>
      <c r="Y17" s="60"/>
      <c r="Z17" s="60"/>
      <c r="AE17" s="60"/>
      <c r="CB17" s="25" t="s">
        <v>296</v>
      </c>
      <c r="CC17" s="12">
        <v>6</v>
      </c>
    </row>
    <row r="18" spans="1:81">
      <c r="A18" s="21" t="s">
        <v>288</v>
      </c>
      <c r="B18" s="17">
        <v>238335000</v>
      </c>
      <c r="C18"/>
      <c r="D18"/>
      <c r="F18" s="9" t="s">
        <v>17</v>
      </c>
      <c r="G18" s="10">
        <v>62787000</v>
      </c>
      <c r="H18" s="10" t="s">
        <v>298</v>
      </c>
      <c r="I18" s="3" cm="1">
        <f t="array" ref="I18">INDEX($L$2:$L$23,MATCH(H18,$K$2:$K$23,0),)</f>
        <v>10</v>
      </c>
      <c r="J18" s="11" t="s">
        <v>106</v>
      </c>
      <c r="K18" s="11" t="s">
        <v>307</v>
      </c>
      <c r="L18" s="11">
        <f t="shared" si="0"/>
        <v>17</v>
      </c>
      <c r="N18" s="9" t="s">
        <v>234</v>
      </c>
      <c r="O18" s="8">
        <v>47964000</v>
      </c>
      <c r="P18" s="11" t="s">
        <v>203</v>
      </c>
      <c r="Q18" s="11" cm="1">
        <f t="array" ref="Q18">INDEX($AG$2:$AG$11,MATCH(P18,$AF$2:$AF$11,0),)</f>
        <v>4</v>
      </c>
      <c r="R18" s="60" cm="1">
        <f t="array" ref="R18">INDEX($BM$2:$BM$11,MATCH(P18,$BL$2:$BL$11,0),)</f>
        <v>6</v>
      </c>
      <c r="T18" s="60"/>
      <c r="U18" s="60"/>
      <c r="V18" s="60"/>
      <c r="W18" s="60"/>
      <c r="X18" s="60"/>
      <c r="Y18" s="60"/>
      <c r="Z18" s="60"/>
      <c r="AE18" s="60"/>
      <c r="CB18" s="11" t="s">
        <v>204</v>
      </c>
      <c r="CC18" s="12">
        <v>5</v>
      </c>
    </row>
    <row r="19" spans="1:81">
      <c r="A19" s="21" t="s">
        <v>197</v>
      </c>
      <c r="B19" s="17">
        <v>1403000</v>
      </c>
      <c r="C19"/>
      <c r="D19"/>
      <c r="F19" s="9" t="s">
        <v>16</v>
      </c>
      <c r="G19" s="10">
        <v>6093000</v>
      </c>
      <c r="H19" s="10" t="s">
        <v>212</v>
      </c>
      <c r="I19" s="3" cm="1">
        <f t="array" ref="I19">INDEX($L$2:$L$23,MATCH(H19,$K$2:$K$23,0),)</f>
        <v>21</v>
      </c>
      <c r="J19" s="11" t="s">
        <v>172</v>
      </c>
      <c r="K19" s="11" t="s">
        <v>204</v>
      </c>
      <c r="L19" s="11">
        <f t="shared" si="0"/>
        <v>18</v>
      </c>
      <c r="N19" s="9" t="s">
        <v>235</v>
      </c>
      <c r="O19" s="8">
        <v>53502000</v>
      </c>
      <c r="P19" s="11" t="s">
        <v>212</v>
      </c>
      <c r="Q19" s="11" cm="1">
        <f t="array" ref="Q19">INDEX($AG$2:$AG$11,MATCH(P19,$AF$2:$AF$11,0),)</f>
        <v>4</v>
      </c>
      <c r="R19" s="60" cm="1">
        <f t="array" ref="R19">INDEX($BM$2:$BM$11,MATCH(P19,$BL$2:$BL$11,0),)</f>
        <v>9</v>
      </c>
      <c r="T19" s="60"/>
      <c r="U19" s="60"/>
      <c r="V19" s="60"/>
      <c r="W19" s="60"/>
      <c r="X19" s="60"/>
      <c r="Y19" s="60"/>
      <c r="Z19" s="60"/>
      <c r="AE19" s="60"/>
      <c r="CB19" s="11" t="s">
        <v>204</v>
      </c>
      <c r="CC19" s="12">
        <v>5</v>
      </c>
    </row>
    <row r="20" spans="1:81" ht="15">
      <c r="A20" s="7" t="s">
        <v>198</v>
      </c>
      <c r="B20" s="17">
        <v>2209000</v>
      </c>
      <c r="C20"/>
      <c r="D20"/>
      <c r="F20" s="22" t="s">
        <v>347</v>
      </c>
      <c r="G20" s="29">
        <f>SUM(G2:G19)</f>
        <v>3999271000</v>
      </c>
      <c r="H20" s="28"/>
      <c r="J20" s="11" t="s">
        <v>173</v>
      </c>
      <c r="K20" s="11" t="s">
        <v>308</v>
      </c>
      <c r="L20" s="11">
        <f t="shared" si="0"/>
        <v>19</v>
      </c>
      <c r="N20" s="9" t="s">
        <v>236</v>
      </c>
      <c r="O20" s="8">
        <v>5638000</v>
      </c>
      <c r="P20" s="11" t="s">
        <v>212</v>
      </c>
      <c r="Q20" s="11" cm="1">
        <f t="array" ref="Q20">INDEX($AG$2:$AG$11,MATCH(P20,$AF$2:$AF$11,0),)</f>
        <v>4</v>
      </c>
      <c r="R20" s="60" cm="1">
        <f t="array" ref="R20">INDEX($BM$2:$BM$11,MATCH(P20,$BL$2:$BL$11,0),)</f>
        <v>9</v>
      </c>
      <c r="T20" s="60"/>
      <c r="U20" s="60"/>
      <c r="V20" s="60"/>
      <c r="W20" s="60"/>
      <c r="X20" s="60"/>
      <c r="Y20" s="60"/>
      <c r="Z20" s="60"/>
      <c r="AE20" s="60"/>
      <c r="AG20" s="54"/>
      <c r="CB20" s="11" t="s">
        <v>204</v>
      </c>
      <c r="CC20" s="12">
        <v>5</v>
      </c>
    </row>
    <row r="21" spans="1:81" ht="15">
      <c r="A21" s="18" t="s">
        <v>273</v>
      </c>
      <c r="B21" s="24">
        <f>SUM(B19:B20)</f>
        <v>3612000</v>
      </c>
      <c r="C21"/>
      <c r="D21"/>
      <c r="J21" s="11" t="s">
        <v>174</v>
      </c>
      <c r="K21" s="11" t="s">
        <v>205</v>
      </c>
      <c r="L21" s="11">
        <f t="shared" si="0"/>
        <v>20</v>
      </c>
      <c r="N21" s="9" t="s">
        <v>99</v>
      </c>
      <c r="O21" s="8">
        <v>69423000</v>
      </c>
      <c r="P21" s="11" t="s">
        <v>212</v>
      </c>
      <c r="Q21" s="11" cm="1">
        <f t="array" ref="Q21">INDEX($AG$2:$AG$11,MATCH(P21,$AF$2:$AF$11,0),)</f>
        <v>4</v>
      </c>
      <c r="R21" s="60" cm="1">
        <f t="array" ref="R21">INDEX($BM$2:$BM$11,MATCH(P21,$BL$2:$BL$11,0),)</f>
        <v>9</v>
      </c>
      <c r="T21" s="60"/>
      <c r="U21" s="60"/>
      <c r="V21" s="60"/>
      <c r="W21" s="60"/>
      <c r="X21" s="60"/>
      <c r="Y21" s="60"/>
      <c r="Z21" s="60"/>
      <c r="AE21" s="60"/>
      <c r="CB21" s="11" t="s">
        <v>205</v>
      </c>
      <c r="CC21" s="12">
        <v>2</v>
      </c>
    </row>
    <row r="22" spans="1:81">
      <c r="A22" s="7" t="s">
        <v>77</v>
      </c>
      <c r="B22" s="17">
        <v>227300000</v>
      </c>
      <c r="C22"/>
      <c r="D22"/>
      <c r="J22" s="11" t="s">
        <v>175</v>
      </c>
      <c r="K22" s="11" t="s">
        <v>175</v>
      </c>
      <c r="L22" s="11">
        <f t="shared" si="0"/>
        <v>21</v>
      </c>
      <c r="N22" s="9" t="s">
        <v>237</v>
      </c>
      <c r="O22" s="8">
        <v>58169000</v>
      </c>
      <c r="P22" s="11" t="s">
        <v>203</v>
      </c>
      <c r="Q22" s="11" cm="1">
        <f t="array" ref="Q22">INDEX($AG$2:$AG$11,MATCH(P22,$AF$2:$AF$11,0),)</f>
        <v>4</v>
      </c>
      <c r="R22" s="60" cm="1">
        <f t="array" ref="R22">INDEX($BM$2:$BM$11,MATCH(P22,$BL$2:$BL$11,0),)</f>
        <v>6</v>
      </c>
      <c r="T22" s="60"/>
      <c r="U22" s="60"/>
      <c r="V22" s="60"/>
      <c r="W22" s="60"/>
      <c r="X22" s="60"/>
      <c r="Y22" s="60"/>
      <c r="Z22" s="60"/>
      <c r="AE22" s="60"/>
      <c r="CB22" s="11" t="s">
        <v>175</v>
      </c>
      <c r="CC22" s="12">
        <v>1</v>
      </c>
    </row>
    <row r="23" spans="1:81">
      <c r="A23" s="7" t="s">
        <v>180</v>
      </c>
      <c r="B23" s="30">
        <v>31068000</v>
      </c>
      <c r="C23"/>
      <c r="D23"/>
      <c r="J23" s="11" t="s">
        <v>212</v>
      </c>
      <c r="K23" s="11" t="s">
        <v>212</v>
      </c>
      <c r="L23" s="11">
        <v>21</v>
      </c>
      <c r="N23" s="9" t="s">
        <v>238</v>
      </c>
      <c r="O23" s="8">
        <v>37666000</v>
      </c>
      <c r="P23" s="11" t="s">
        <v>203</v>
      </c>
      <c r="Q23" s="11" cm="1">
        <f t="array" ref="Q23">INDEX($AG$2:$AG$11,MATCH(P23,$AF$2:$AF$11,0),)</f>
        <v>4</v>
      </c>
      <c r="R23" s="60" cm="1">
        <f t="array" ref="R23">INDEX($BM$2:$BM$11,MATCH(P23,$BL$2:$BL$11,0),)</f>
        <v>6</v>
      </c>
      <c r="T23" s="60"/>
      <c r="U23" s="60"/>
      <c r="V23" s="60"/>
      <c r="W23" s="60"/>
      <c r="X23" s="60"/>
      <c r="Y23" s="60"/>
      <c r="Z23" s="60"/>
      <c r="AE23" s="60"/>
      <c r="CB23" s="11" t="s">
        <v>212</v>
      </c>
      <c r="CC23" s="12">
        <v>1</v>
      </c>
    </row>
    <row r="24" spans="1:81">
      <c r="A24" s="7" t="s">
        <v>181</v>
      </c>
      <c r="B24" s="17">
        <v>25950000</v>
      </c>
      <c r="C24"/>
      <c r="D24"/>
      <c r="N24" s="9" t="s">
        <v>239</v>
      </c>
      <c r="O24" s="8">
        <v>19093000</v>
      </c>
      <c r="P24" s="11" t="s">
        <v>212</v>
      </c>
      <c r="Q24" s="11" cm="1">
        <f t="array" ref="Q24">INDEX($AG$2:$AG$11,MATCH(P24,$AF$2:$AF$11,0),)</f>
        <v>4</v>
      </c>
      <c r="R24" s="60" cm="1">
        <f t="array" ref="R24">INDEX($BM$2:$BM$11,MATCH(P24,$BL$2:$BL$11,0),)</f>
        <v>9</v>
      </c>
      <c r="T24" s="60"/>
      <c r="U24" s="60"/>
      <c r="V24" s="60"/>
      <c r="W24" s="60"/>
      <c r="X24" s="60"/>
      <c r="Y24" s="60"/>
      <c r="Z24" s="60"/>
      <c r="AE24" s="60"/>
    </row>
    <row r="25" spans="1:81">
      <c r="A25" s="21" t="s">
        <v>196</v>
      </c>
      <c r="B25" s="17">
        <v>1049000</v>
      </c>
      <c r="C25"/>
      <c r="D25"/>
      <c r="N25" s="9" t="s">
        <v>124</v>
      </c>
      <c r="O25" s="32">
        <v>39999000</v>
      </c>
      <c r="P25" s="11" t="s">
        <v>203</v>
      </c>
      <c r="Q25" s="11" cm="1">
        <f t="array" ref="Q25">INDEX($AG$2:$AG$11,MATCH(P25,$AF$2:$AF$11,0),)</f>
        <v>4</v>
      </c>
      <c r="R25" s="60" cm="1">
        <f t="array" ref="R25">INDEX($BM$2:$BM$11,MATCH(P25,$BL$2:$BL$11,0),)</f>
        <v>6</v>
      </c>
      <c r="T25" s="60"/>
      <c r="U25" s="60"/>
      <c r="V25" s="60"/>
      <c r="W25" s="60"/>
      <c r="X25" s="60"/>
      <c r="Y25" s="60"/>
      <c r="Z25" s="60"/>
      <c r="AE25" s="60"/>
    </row>
    <row r="26" spans="1:81">
      <c r="A26" s="7" t="s">
        <v>79</v>
      </c>
      <c r="B26" s="17">
        <v>716175000</v>
      </c>
      <c r="C26"/>
      <c r="D26"/>
      <c r="N26" s="9" t="s">
        <v>125</v>
      </c>
      <c r="O26" s="32">
        <v>39299000</v>
      </c>
      <c r="P26" s="11" t="s">
        <v>212</v>
      </c>
      <c r="Q26" s="11" cm="1">
        <f t="array" ref="Q26">INDEX($AG$2:$AG$11,MATCH(P26,$AF$2:$AF$11,0),)</f>
        <v>4</v>
      </c>
      <c r="R26" s="60" cm="1">
        <f t="array" ref="R26">INDEX($BM$2:$BM$11,MATCH(P26,$BL$2:$BL$11,0),)</f>
        <v>9</v>
      </c>
      <c r="T26" s="60"/>
      <c r="U26" s="60"/>
      <c r="V26" s="60"/>
      <c r="W26" s="60"/>
      <c r="X26" s="60"/>
      <c r="Y26" s="60"/>
      <c r="Z26" s="60"/>
      <c r="AE26" s="60"/>
    </row>
    <row r="27" spans="1:81">
      <c r="A27" s="7" t="s">
        <v>53</v>
      </c>
      <c r="B27" s="17">
        <v>0</v>
      </c>
      <c r="C27"/>
      <c r="D27"/>
      <c r="N27" s="9" t="s">
        <v>126</v>
      </c>
      <c r="O27" s="32">
        <v>56638000</v>
      </c>
      <c r="P27" s="11" t="s">
        <v>212</v>
      </c>
      <c r="Q27" s="11" cm="1">
        <f t="array" ref="Q27">INDEX($AG$2:$AG$11,MATCH(P27,$AF$2:$AF$11,0),)</f>
        <v>4</v>
      </c>
      <c r="R27" s="60" cm="1">
        <f t="array" ref="R27">INDEX($BM$2:$BM$11,MATCH(P27,$BL$2:$BL$11,0),)</f>
        <v>9</v>
      </c>
      <c r="T27" s="60"/>
      <c r="U27" s="60"/>
      <c r="V27" s="60"/>
      <c r="W27" s="60"/>
      <c r="X27" s="60"/>
      <c r="Y27" s="60"/>
      <c r="Z27" s="60"/>
      <c r="AE27" s="60"/>
    </row>
    <row r="28" spans="1:81">
      <c r="C28"/>
      <c r="D28"/>
      <c r="N28" s="9" t="s">
        <v>127</v>
      </c>
      <c r="O28" s="32">
        <v>1680000</v>
      </c>
      <c r="P28" s="11" t="s">
        <v>201</v>
      </c>
      <c r="Q28" s="11" cm="1">
        <f t="array" ref="Q28">INDEX($AG$2:$AG$11,MATCH(P28,$AF$2:$AF$11,0),)</f>
        <v>2</v>
      </c>
      <c r="R28" s="60" cm="1">
        <f t="array" ref="R28">INDEX($BM$2:$BM$11,MATCH(P28,$BL$2:$BL$11,0),)</f>
        <v>4</v>
      </c>
      <c r="T28" s="60"/>
      <c r="U28" s="60"/>
      <c r="V28" s="60"/>
      <c r="W28" s="60"/>
      <c r="X28" s="60"/>
      <c r="Y28" s="60"/>
      <c r="Z28" s="60"/>
      <c r="AE28" s="60"/>
    </row>
    <row r="29" spans="1:81" ht="15">
      <c r="A29" s="73" t="s">
        <v>334</v>
      </c>
      <c r="B29" s="74" t="s">
        <v>373</v>
      </c>
      <c r="C29"/>
      <c r="D29"/>
      <c r="N29" s="9" t="s">
        <v>98</v>
      </c>
      <c r="O29" s="32">
        <v>66165000</v>
      </c>
      <c r="P29" s="11" t="s">
        <v>204</v>
      </c>
      <c r="Q29" s="11" cm="1">
        <f t="array" ref="Q29">INDEX($AG$2:$AG$11,MATCH(P29,$AF$2:$AF$11,0),)</f>
        <v>4</v>
      </c>
      <c r="R29" s="60" cm="1">
        <f t="array" ref="R29">INDEX($BM$2:$BM$11,MATCH(P29,$BL$2:$BL$11,0),)</f>
        <v>7</v>
      </c>
      <c r="T29" s="60"/>
      <c r="U29" s="60"/>
      <c r="V29" s="60"/>
      <c r="W29" s="60"/>
      <c r="X29" s="60"/>
      <c r="Y29" s="60"/>
      <c r="Z29" s="60"/>
      <c r="AE29" s="60"/>
    </row>
    <row r="30" spans="1:81">
      <c r="A30" s="7" t="s">
        <v>335</v>
      </c>
      <c r="B30" s="8">
        <v>246632000</v>
      </c>
      <c r="C30" s="140"/>
      <c r="D30" s="140"/>
      <c r="N30" s="9" t="s">
        <v>95</v>
      </c>
      <c r="O30" s="32">
        <v>96092000</v>
      </c>
      <c r="P30" s="11" t="s">
        <v>204</v>
      </c>
      <c r="Q30" s="11" cm="1">
        <f t="array" ref="Q30">INDEX($AG$2:$AG$11,MATCH(P30,$AF$2:$AF$11,0),)</f>
        <v>4</v>
      </c>
      <c r="R30" s="60" cm="1">
        <f t="array" ref="R30">INDEX($BM$2:$BM$11,MATCH(P30,$BL$2:$BL$11,0),)</f>
        <v>7</v>
      </c>
      <c r="T30" s="60"/>
      <c r="U30" s="60"/>
      <c r="V30" s="60"/>
      <c r="W30" s="60"/>
      <c r="X30" s="60"/>
      <c r="Y30" s="60"/>
      <c r="Z30" s="60"/>
      <c r="AE30" s="60"/>
    </row>
    <row r="31" spans="1:81">
      <c r="A31" s="7" t="s">
        <v>336</v>
      </c>
      <c r="B31" s="17">
        <v>907991000</v>
      </c>
      <c r="C31" s="141"/>
      <c r="D31" s="141"/>
      <c r="N31" s="9" t="s">
        <v>128</v>
      </c>
      <c r="O31" s="32">
        <v>7850000</v>
      </c>
      <c r="P31" s="11" t="s">
        <v>202</v>
      </c>
      <c r="Q31" s="11" cm="1">
        <f t="array" ref="Q31">INDEX($AG$2:$AG$11,MATCH(P31,$AF$2:$AF$11,0),)</f>
        <v>3</v>
      </c>
      <c r="R31" s="60" cm="1">
        <f t="array" ref="R31">INDEX($BM$2:$BM$11,MATCH(P31,$BL$2:$BL$11,0),)</f>
        <v>5</v>
      </c>
      <c r="T31" s="60"/>
      <c r="U31" s="60"/>
      <c r="V31" s="60"/>
      <c r="W31" s="60"/>
      <c r="X31" s="60"/>
      <c r="Y31" s="60"/>
      <c r="Z31" s="60"/>
      <c r="AE31" s="60"/>
    </row>
    <row r="32" spans="1:81">
      <c r="A32" s="7" t="s">
        <v>337</v>
      </c>
      <c r="B32" s="17">
        <v>193803000</v>
      </c>
      <c r="C32" s="141"/>
      <c r="D32" s="141"/>
      <c r="N32" s="9" t="s">
        <v>129</v>
      </c>
      <c r="O32" s="32">
        <v>5882000</v>
      </c>
      <c r="P32" s="11" t="s">
        <v>203</v>
      </c>
      <c r="Q32" s="11" cm="1">
        <f t="array" ref="Q32">INDEX($AG$2:$AG$11,MATCH(P32,$AF$2:$AF$11,0),)</f>
        <v>4</v>
      </c>
      <c r="R32" s="60" cm="1">
        <f t="array" ref="R32">INDEX($BM$2:$BM$11,MATCH(P32,$BL$2:$BL$11,0),)</f>
        <v>6</v>
      </c>
      <c r="T32" s="60"/>
      <c r="U32" s="60"/>
      <c r="V32" s="60"/>
      <c r="W32" s="60"/>
      <c r="X32" s="60"/>
      <c r="Y32" s="60"/>
      <c r="Z32" s="60"/>
      <c r="AE32" s="60"/>
    </row>
    <row r="33" spans="1:31">
      <c r="A33" s="7" t="s">
        <v>338</v>
      </c>
      <c r="B33" s="17">
        <v>165523000</v>
      </c>
      <c r="C33" s="141"/>
      <c r="D33" s="141"/>
      <c r="N33" s="9" t="s">
        <v>118</v>
      </c>
      <c r="O33" s="32">
        <v>62561000</v>
      </c>
      <c r="P33" s="11" t="s">
        <v>203</v>
      </c>
      <c r="Q33" s="11" cm="1">
        <f t="array" ref="Q33">INDEX($AG$2:$AG$11,MATCH(P33,$AF$2:$AF$11,0),)</f>
        <v>4</v>
      </c>
      <c r="R33" s="60" cm="1">
        <f t="array" ref="R33">INDEX($BM$2:$BM$11,MATCH(P33,$BL$2:$BL$11,0),)</f>
        <v>6</v>
      </c>
      <c r="T33" s="60"/>
      <c r="U33" s="60"/>
      <c r="V33" s="60"/>
      <c r="W33" s="60"/>
      <c r="X33" s="60"/>
      <c r="Y33" s="60"/>
      <c r="Z33" s="60"/>
      <c r="AE33" s="60"/>
    </row>
    <row r="34" spans="1:31">
      <c r="A34" s="7" t="s">
        <v>339</v>
      </c>
      <c r="B34" s="17">
        <v>173500000</v>
      </c>
      <c r="C34" s="141"/>
      <c r="D34" s="141"/>
      <c r="N34" s="9" t="s">
        <v>100</v>
      </c>
      <c r="O34" s="32">
        <v>71129000</v>
      </c>
      <c r="P34" s="11" t="s">
        <v>203</v>
      </c>
      <c r="Q34" s="11" cm="1">
        <f t="array" ref="Q34">INDEX($AG$2:$AG$11,MATCH(P34,$AF$2:$AF$11,0),)</f>
        <v>4</v>
      </c>
      <c r="R34" s="60" cm="1">
        <f t="array" ref="R34">INDEX($BM$2:$BM$11,MATCH(P34,$BL$2:$BL$11,0),)</f>
        <v>6</v>
      </c>
      <c r="T34" s="60"/>
      <c r="U34" s="60"/>
      <c r="V34" s="60"/>
      <c r="W34" s="60"/>
      <c r="X34" s="60"/>
      <c r="Y34" s="60"/>
      <c r="Z34" s="60"/>
      <c r="AE34" s="60"/>
    </row>
    <row r="35" spans="1:31">
      <c r="B35" s="60"/>
      <c r="C35" s="60"/>
      <c r="D35" s="60"/>
      <c r="N35" s="9" t="s">
        <v>94</v>
      </c>
      <c r="O35" s="32">
        <v>118914000</v>
      </c>
      <c r="P35" s="11" t="s">
        <v>203</v>
      </c>
      <c r="Q35" s="11" cm="1">
        <f t="array" ref="Q35">INDEX($AG$2:$AG$11,MATCH(P35,$AF$2:$AF$11,0),)</f>
        <v>4</v>
      </c>
      <c r="R35" s="60" cm="1">
        <f t="array" ref="R35">INDEX($BM$2:$BM$11,MATCH(P35,$BL$2:$BL$11,0),)</f>
        <v>6</v>
      </c>
      <c r="T35" s="60"/>
      <c r="U35" s="60"/>
      <c r="V35" s="60"/>
      <c r="W35" s="60"/>
      <c r="X35" s="60"/>
      <c r="Y35" s="60"/>
      <c r="Z35" s="60"/>
      <c r="AE35" s="60"/>
    </row>
    <row r="36" spans="1:31" ht="15">
      <c r="A36" s="73" t="s">
        <v>370</v>
      </c>
      <c r="B36" s="74" t="s">
        <v>454</v>
      </c>
      <c r="C36" s="74" t="s">
        <v>455</v>
      </c>
      <c r="D36" s="74" t="s">
        <v>456</v>
      </c>
      <c r="N36" s="9" t="s">
        <v>130</v>
      </c>
      <c r="O36" s="32">
        <v>19620000</v>
      </c>
      <c r="P36" s="11" t="s">
        <v>203</v>
      </c>
      <c r="Q36" s="11" cm="1">
        <f t="array" ref="Q36">INDEX($AG$2:$AG$11,MATCH(P36,$AF$2:$AF$11,0),)</f>
        <v>4</v>
      </c>
      <c r="R36" s="60" cm="1">
        <f t="array" ref="R36">INDEX($BM$2:$BM$11,MATCH(P36,$BL$2:$BL$11,0),)</f>
        <v>6</v>
      </c>
      <c r="T36" s="60"/>
      <c r="U36" s="60"/>
      <c r="V36" s="60"/>
      <c r="W36" s="60"/>
      <c r="X36" s="60"/>
      <c r="Y36" s="60"/>
      <c r="Z36" s="60"/>
      <c r="AE36" s="60"/>
    </row>
    <row r="37" spans="1:31">
      <c r="A37" s="35">
        <v>2019</v>
      </c>
      <c r="B37" s="8">
        <v>7000</v>
      </c>
      <c r="C37" s="8">
        <v>140000000</v>
      </c>
      <c r="D37" s="8">
        <f>C37-B37</f>
        <v>139993000</v>
      </c>
      <c r="N37" s="9" t="s">
        <v>131</v>
      </c>
      <c r="O37" s="32">
        <v>53839000</v>
      </c>
      <c r="P37" s="11" t="s">
        <v>212</v>
      </c>
      <c r="Q37" s="11" cm="1">
        <f t="array" ref="Q37">INDEX($AG$2:$AG$11,MATCH(P37,$AF$2:$AF$11,0),)</f>
        <v>4</v>
      </c>
      <c r="R37" s="60" cm="1">
        <f t="array" ref="R37">INDEX($BM$2:$BM$11,MATCH(P37,$BL$2:$BL$11,0),)</f>
        <v>9</v>
      </c>
      <c r="T37" s="60"/>
      <c r="U37" s="60"/>
      <c r="V37" s="60"/>
      <c r="W37" s="60"/>
      <c r="X37" s="60"/>
      <c r="Y37" s="60"/>
      <c r="Z37" s="60"/>
      <c r="AE37" s="60"/>
    </row>
    <row r="38" spans="1:31">
      <c r="A38" s="35">
        <v>2018</v>
      </c>
      <c r="B38" s="17">
        <v>100292000</v>
      </c>
      <c r="C38" s="17">
        <v>140000000</v>
      </c>
      <c r="D38" s="17">
        <f t="shared" ref="D38:D41" si="1">C38-B38</f>
        <v>39708000</v>
      </c>
      <c r="N38" s="9" t="s">
        <v>132</v>
      </c>
      <c r="O38" s="32">
        <v>10796000</v>
      </c>
      <c r="P38" s="11" t="s">
        <v>212</v>
      </c>
      <c r="Q38" s="11" cm="1">
        <f t="array" ref="Q38">INDEX($AG$2:$AG$11,MATCH(P38,$AF$2:$AF$11,0),)</f>
        <v>4</v>
      </c>
      <c r="R38" s="60" cm="1">
        <f t="array" ref="R38">INDEX($BM$2:$BM$11,MATCH(P38,$BL$2:$BL$11,0),)</f>
        <v>9</v>
      </c>
      <c r="T38" s="60"/>
      <c r="U38" s="60"/>
      <c r="V38" s="60"/>
      <c r="W38" s="60"/>
      <c r="X38" s="60"/>
      <c r="Y38" s="60"/>
      <c r="Z38" s="60"/>
      <c r="AE38" s="60"/>
    </row>
    <row r="39" spans="1:31">
      <c r="A39" s="35">
        <v>2017</v>
      </c>
      <c r="B39" s="17">
        <v>101211000</v>
      </c>
      <c r="C39" s="17">
        <v>140000000</v>
      </c>
      <c r="D39" s="17">
        <f t="shared" si="1"/>
        <v>38789000</v>
      </c>
      <c r="N39" s="9" t="s">
        <v>133</v>
      </c>
      <c r="O39" s="32">
        <v>24471000</v>
      </c>
      <c r="P39" s="11" t="s">
        <v>203</v>
      </c>
      <c r="Q39" s="11" cm="1">
        <f t="array" ref="Q39">INDEX($AG$2:$AG$11,MATCH(P39,$AF$2:$AF$11,0),)</f>
        <v>4</v>
      </c>
      <c r="R39" s="60" cm="1">
        <f t="array" ref="R39">INDEX($BM$2:$BM$11,MATCH(P39,$BL$2:$BL$11,0),)</f>
        <v>6</v>
      </c>
      <c r="T39" s="60"/>
      <c r="U39" s="60"/>
      <c r="V39" s="60"/>
      <c r="W39" s="60"/>
      <c r="X39" s="60"/>
      <c r="Y39" s="60"/>
      <c r="Z39" s="60"/>
      <c r="AE39" s="60"/>
    </row>
    <row r="40" spans="1:31">
      <c r="A40" s="35">
        <v>2016</v>
      </c>
      <c r="B40" s="17">
        <v>101743000</v>
      </c>
      <c r="C40" s="17">
        <v>140000000</v>
      </c>
      <c r="D40" s="17">
        <f t="shared" si="1"/>
        <v>38257000</v>
      </c>
      <c r="N40" s="9" t="s">
        <v>97</v>
      </c>
      <c r="O40" s="32">
        <v>78226000</v>
      </c>
      <c r="P40" s="11" t="s">
        <v>203</v>
      </c>
      <c r="Q40" s="11" cm="1">
        <f t="array" ref="Q40">INDEX($AG$2:$AG$11,MATCH(P40,$AF$2:$AF$11,0),)</f>
        <v>4</v>
      </c>
      <c r="R40" s="60" cm="1">
        <f t="array" ref="R40">INDEX($BM$2:$BM$11,MATCH(P40,$BL$2:$BL$11,0),)</f>
        <v>6</v>
      </c>
      <c r="T40" s="60"/>
      <c r="U40" s="60"/>
      <c r="V40" s="60"/>
      <c r="W40" s="60"/>
      <c r="X40" s="60"/>
      <c r="Y40" s="60"/>
      <c r="Z40" s="60"/>
      <c r="AE40" s="60"/>
    </row>
    <row r="41" spans="1:31">
      <c r="A41" s="35">
        <v>2015</v>
      </c>
      <c r="B41" s="17">
        <v>120613000</v>
      </c>
      <c r="C41" s="17">
        <v>140000000</v>
      </c>
      <c r="D41" s="17">
        <f t="shared" si="1"/>
        <v>19387000</v>
      </c>
      <c r="N41" s="9" t="s">
        <v>134</v>
      </c>
      <c r="O41" s="32">
        <v>26087000</v>
      </c>
      <c r="P41" s="11" t="s">
        <v>203</v>
      </c>
      <c r="Q41" s="11" cm="1">
        <f t="array" ref="Q41">INDEX($AG$2:$AG$11,MATCH(P41,$AF$2:$AF$11,0),)</f>
        <v>4</v>
      </c>
      <c r="R41" s="60" cm="1">
        <f t="array" ref="R41">INDEX($BM$2:$BM$11,MATCH(P41,$BL$2:$BL$11,0),)</f>
        <v>6</v>
      </c>
      <c r="T41" s="60"/>
      <c r="U41" s="60"/>
      <c r="V41" s="60"/>
      <c r="W41" s="60"/>
      <c r="X41" s="60"/>
      <c r="Y41" s="60"/>
      <c r="Z41" s="60"/>
      <c r="AE41" s="60"/>
    </row>
    <row r="42" spans="1:31">
      <c r="A42" s="35">
        <v>2014</v>
      </c>
      <c r="B42" s="8">
        <v>775405000</v>
      </c>
      <c r="C42"/>
      <c r="D42"/>
      <c r="N42" s="9" t="s">
        <v>117</v>
      </c>
      <c r="O42" s="32">
        <v>63263000</v>
      </c>
      <c r="P42" s="11" t="s">
        <v>203</v>
      </c>
      <c r="Q42" s="11" cm="1">
        <f t="array" ref="Q42">INDEX($AG$2:$AG$11,MATCH(P42,$AF$2:$AF$11,0),)</f>
        <v>4</v>
      </c>
      <c r="R42" s="60" cm="1">
        <f t="array" ref="R42">INDEX($BM$2:$BM$11,MATCH(P42,$BL$2:$BL$11,0),)</f>
        <v>6</v>
      </c>
      <c r="T42" s="60"/>
      <c r="U42" s="60"/>
      <c r="V42" s="60"/>
      <c r="W42" s="60"/>
      <c r="X42" s="60"/>
      <c r="Y42" s="60"/>
      <c r="Z42" s="60"/>
      <c r="AE42" s="60"/>
    </row>
    <row r="43" spans="1:31">
      <c r="N43" s="9" t="s">
        <v>135</v>
      </c>
      <c r="O43" s="32">
        <v>34245000</v>
      </c>
      <c r="P43" s="11" t="s">
        <v>205</v>
      </c>
      <c r="Q43" s="11" cm="1">
        <f t="array" ref="Q43">INDEX($AG$2:$AG$11,MATCH(P43,$AF$2:$AF$11,0),)</f>
        <v>4</v>
      </c>
      <c r="R43" s="60" cm="1">
        <f t="array" ref="R43">INDEX($BM$2:$BM$11,MATCH(P43,$BL$2:$BL$11,0),)</f>
        <v>8</v>
      </c>
      <c r="T43" s="60"/>
      <c r="U43" s="60"/>
      <c r="V43" s="60"/>
      <c r="W43" s="60"/>
      <c r="X43" s="60"/>
      <c r="Y43" s="60"/>
      <c r="Z43" s="60"/>
      <c r="AE43" s="60"/>
    </row>
    <row r="44" spans="1:31">
      <c r="N44" s="9" t="s">
        <v>136</v>
      </c>
      <c r="O44" s="32">
        <v>11198000</v>
      </c>
      <c r="P44" s="11" t="s">
        <v>212</v>
      </c>
      <c r="Q44" s="11" cm="1">
        <f t="array" ref="Q44">INDEX($AG$2:$AG$11,MATCH(P44,$AF$2:$AF$11,0),)</f>
        <v>4</v>
      </c>
      <c r="R44" s="60" cm="1">
        <f t="array" ref="R44">INDEX($BM$2:$BM$11,MATCH(P44,$BL$2:$BL$11,0),)</f>
        <v>9</v>
      </c>
      <c r="T44" s="60"/>
      <c r="U44" s="60"/>
      <c r="V44" s="60"/>
      <c r="W44" s="60"/>
      <c r="X44" s="60"/>
      <c r="Y44" s="60"/>
      <c r="Z44" s="60"/>
      <c r="AE44" s="60"/>
    </row>
    <row r="45" spans="1:31">
      <c r="N45" s="9" t="s">
        <v>7</v>
      </c>
      <c r="O45" s="32">
        <v>15034000</v>
      </c>
      <c r="P45" s="11" t="s">
        <v>212</v>
      </c>
      <c r="Q45" s="11" cm="1">
        <f t="array" ref="Q45">INDEX($AG$2:$AG$11,MATCH(P45,$AF$2:$AF$11,0),)</f>
        <v>4</v>
      </c>
      <c r="R45" s="60" cm="1">
        <f t="array" ref="R45">INDEX($BM$2:$BM$11,MATCH(P45,$BL$2:$BL$11,0),)</f>
        <v>9</v>
      </c>
      <c r="T45" s="60"/>
      <c r="U45" s="60"/>
      <c r="V45" s="60"/>
      <c r="W45" s="60"/>
      <c r="X45" s="60"/>
      <c r="Y45" s="60"/>
      <c r="Z45" s="60"/>
      <c r="AE45" s="60"/>
    </row>
    <row r="46" spans="1:31">
      <c r="N46" s="9" t="s">
        <v>137</v>
      </c>
      <c r="O46" s="32">
        <v>5000000</v>
      </c>
      <c r="P46" s="11" t="s">
        <v>201</v>
      </c>
      <c r="Q46" s="11" cm="1">
        <f t="array" ref="Q46">INDEX($AG$2:$AG$11,MATCH(P46,$AF$2:$AF$11,0),)</f>
        <v>2</v>
      </c>
      <c r="R46" s="60" cm="1">
        <f t="array" ref="R46">INDEX($BM$2:$BM$11,MATCH(P46,$BL$2:$BL$11,0),)</f>
        <v>4</v>
      </c>
      <c r="T46" s="60"/>
      <c r="U46" s="60"/>
      <c r="V46" s="60"/>
      <c r="W46" s="60"/>
      <c r="X46" s="60"/>
      <c r="Y46" s="60"/>
      <c r="Z46" s="60"/>
      <c r="AE46" s="60"/>
    </row>
    <row r="47" spans="1:31">
      <c r="N47" s="9" t="s">
        <v>142</v>
      </c>
      <c r="O47" s="32">
        <v>0</v>
      </c>
      <c r="P47" s="11" t="s">
        <v>203</v>
      </c>
      <c r="Q47" s="11" cm="1">
        <f t="array" ref="Q47">INDEX($AG$2:$AG$11,MATCH(P47,$AF$2:$AF$11,0),)</f>
        <v>4</v>
      </c>
      <c r="R47" s="60" cm="1">
        <f t="array" ref="R47">INDEX($BM$2:$BM$11,MATCH(P47,$BL$2:$BL$11,0),)</f>
        <v>6</v>
      </c>
      <c r="T47" s="60"/>
      <c r="U47" s="60"/>
      <c r="V47" s="60"/>
      <c r="W47" s="60"/>
      <c r="X47" s="60"/>
      <c r="Y47" s="60"/>
      <c r="Z47" s="60"/>
      <c r="AE47" s="60"/>
    </row>
    <row r="48" spans="1:31">
      <c r="N48" s="9" t="s">
        <v>138</v>
      </c>
      <c r="O48" s="32">
        <v>10283000</v>
      </c>
      <c r="P48" s="11" t="s">
        <v>201</v>
      </c>
      <c r="Q48" s="11" cm="1">
        <f t="array" ref="Q48">INDEX($AG$2:$AG$11,MATCH(P48,$AF$2:$AF$11,0),)</f>
        <v>2</v>
      </c>
      <c r="R48" s="60" cm="1">
        <f t="array" ref="R48">INDEX($BM$2:$BM$11,MATCH(P48,$BL$2:$BL$11,0),)</f>
        <v>4</v>
      </c>
      <c r="T48" s="60"/>
      <c r="U48" s="60"/>
      <c r="V48" s="60"/>
      <c r="W48" s="60"/>
      <c r="X48" s="60"/>
      <c r="Y48" s="60"/>
      <c r="Z48" s="60"/>
      <c r="AE48" s="60"/>
    </row>
    <row r="49" spans="14:18">
      <c r="N49" s="9" t="s">
        <v>143</v>
      </c>
      <c r="O49" s="32">
        <v>0</v>
      </c>
      <c r="P49" s="11" t="s">
        <v>116</v>
      </c>
      <c r="Q49" s="11" cm="1">
        <f t="array" ref="Q49">INDEX($AG$2:$AG$11,MATCH(P49,$AF$2:$AF$11,0),)</f>
        <v>1</v>
      </c>
      <c r="R49" s="60" cm="1">
        <f t="array" ref="R49">INDEX($BM$2:$BM$11,MATCH(P49,$BL$2:$BL$11,0),)</f>
        <v>3</v>
      </c>
    </row>
    <row r="50" spans="14:18">
      <c r="N50" s="9" t="s">
        <v>139</v>
      </c>
      <c r="O50" s="32">
        <v>10833000</v>
      </c>
      <c r="P50" s="11" t="s">
        <v>201</v>
      </c>
      <c r="Q50" s="11" cm="1">
        <f t="array" ref="Q50">INDEX($AG$2:$AG$11,MATCH(P50,$AF$2:$AF$11,0),)</f>
        <v>2</v>
      </c>
      <c r="R50" s="60" cm="1">
        <f t="array" ref="R50">INDEX($BM$2:$BM$11,MATCH(P50,$BL$2:$BL$11,0),)</f>
        <v>4</v>
      </c>
    </row>
    <row r="51" spans="14:18">
      <c r="N51" s="9" t="s">
        <v>140</v>
      </c>
      <c r="O51" s="32">
        <v>15000000</v>
      </c>
      <c r="P51" s="11" t="s">
        <v>212</v>
      </c>
      <c r="Q51" s="11" cm="1">
        <f t="array" ref="Q51">INDEX($AG$2:$AG$11,MATCH(P51,$AF$2:$AF$11,0),)</f>
        <v>4</v>
      </c>
      <c r="R51" s="60" cm="1">
        <f t="array" ref="R51">INDEX($BM$2:$BM$11,MATCH(P51,$BL$2:$BL$11,0),)</f>
        <v>9</v>
      </c>
    </row>
    <row r="52" spans="14:18">
      <c r="N52" s="9" t="s">
        <v>141</v>
      </c>
      <c r="O52" s="32">
        <v>15000000</v>
      </c>
      <c r="P52" s="11" t="s">
        <v>201</v>
      </c>
      <c r="Q52" s="11" cm="1">
        <f t="array" ref="Q52">INDEX($AG$2:$AG$11,MATCH(P52,$AF$2:$AF$11,0),)</f>
        <v>2</v>
      </c>
      <c r="R52" s="60" cm="1">
        <f t="array" ref="R52">INDEX($BM$2:$BM$11,MATCH(P52,$BL$2:$BL$11,0),)</f>
        <v>4</v>
      </c>
    </row>
    <row r="53" spans="14:18">
      <c r="N53" s="9" t="s">
        <v>144</v>
      </c>
      <c r="O53" s="32">
        <v>0</v>
      </c>
      <c r="P53" s="11" t="s">
        <v>212</v>
      </c>
      <c r="Q53" s="11" cm="1">
        <f t="array" ref="Q53">INDEX($AG$2:$AG$11,MATCH(P53,$AF$2:$AF$11,0),)</f>
        <v>4</v>
      </c>
      <c r="R53" s="60" cm="1">
        <f t="array" ref="R53">INDEX($BM$2:$BM$11,MATCH(P53,$BL$2:$BL$11,0),)</f>
        <v>9</v>
      </c>
    </row>
    <row r="54" spans="14:18">
      <c r="N54" s="9" t="s">
        <v>145</v>
      </c>
      <c r="O54" s="32">
        <v>1818000</v>
      </c>
      <c r="P54" s="11" t="s">
        <v>212</v>
      </c>
      <c r="Q54" s="11" cm="1">
        <f t="array" ref="Q54">INDEX($AG$2:$AG$11,MATCH(P54,$AF$2:$AF$11,0),)</f>
        <v>4</v>
      </c>
      <c r="R54" s="60" cm="1">
        <f t="array" ref="R54">INDEX($BM$2:$BM$11,MATCH(P54,$BL$2:$BL$11,0),)</f>
        <v>9</v>
      </c>
    </row>
    <row r="55" spans="14:18">
      <c r="N55" s="9" t="s">
        <v>146</v>
      </c>
      <c r="O55" s="32">
        <v>5625000</v>
      </c>
      <c r="P55" s="11" t="s">
        <v>203</v>
      </c>
      <c r="Q55" s="11" cm="1">
        <f t="array" ref="Q55">INDEX($AG$2:$AG$11,MATCH(P55,$AF$2:$AF$11,0),)</f>
        <v>4</v>
      </c>
      <c r="R55" s="60" cm="1">
        <f t="array" ref="R55">INDEX($BM$2:$BM$11,MATCH(P55,$BL$2:$BL$11,0),)</f>
        <v>6</v>
      </c>
    </row>
    <row r="56" spans="14:18">
      <c r="N56" s="9" t="s">
        <v>147</v>
      </c>
      <c r="O56" s="32">
        <v>15000000</v>
      </c>
      <c r="P56" s="11" t="s">
        <v>203</v>
      </c>
      <c r="Q56" s="11" cm="1">
        <f t="array" ref="Q56">INDEX($AG$2:$AG$11,MATCH(P56,$AF$2:$AF$11,0),)</f>
        <v>4</v>
      </c>
      <c r="R56" s="60" cm="1">
        <f t="array" ref="R56">INDEX($BM$2:$BM$11,MATCH(P56,$BL$2:$BL$11,0),)</f>
        <v>6</v>
      </c>
    </row>
    <row r="57" spans="14:18">
      <c r="N57" s="9" t="s">
        <v>148</v>
      </c>
      <c r="O57" s="32">
        <v>4100000</v>
      </c>
      <c r="P57" s="11" t="s">
        <v>212</v>
      </c>
      <c r="Q57" s="11" cm="1">
        <f t="array" ref="Q57">INDEX($AG$2:$AG$11,MATCH(P57,$AF$2:$AF$11,0),)</f>
        <v>4</v>
      </c>
      <c r="R57" s="60" cm="1">
        <f t="array" ref="R57">INDEX($BM$2:$BM$11,MATCH(P57,$BL$2:$BL$11,0),)</f>
        <v>9</v>
      </c>
    </row>
    <row r="58" spans="14:18">
      <c r="N58" s="9" t="s">
        <v>149</v>
      </c>
      <c r="O58" s="32">
        <v>3000000</v>
      </c>
      <c r="P58" s="11" t="s">
        <v>212</v>
      </c>
      <c r="Q58" s="11" cm="1">
        <f t="array" ref="Q58">INDEX($AG$2:$AG$11,MATCH(P58,$AF$2:$AF$11,0),)</f>
        <v>4</v>
      </c>
      <c r="R58" s="60" cm="1">
        <f t="array" ref="R58">INDEX($BM$2:$BM$11,MATCH(P58,$BL$2:$BL$11,0),)</f>
        <v>9</v>
      </c>
    </row>
    <row r="59" spans="14:18">
      <c r="N59" s="9" t="s">
        <v>150</v>
      </c>
      <c r="O59" s="32">
        <v>15000000</v>
      </c>
      <c r="P59" s="11" t="s">
        <v>212</v>
      </c>
      <c r="Q59" s="11" cm="1">
        <f t="array" ref="Q59">INDEX($AG$2:$AG$11,MATCH(P59,$AF$2:$AF$11,0),)</f>
        <v>4</v>
      </c>
      <c r="R59" s="60" cm="1">
        <f t="array" ref="R59">INDEX($BM$2:$BM$11,MATCH(P59,$BL$2:$BL$11,0),)</f>
        <v>9</v>
      </c>
    </row>
    <row r="60" spans="14:18">
      <c r="N60" s="9" t="s">
        <v>151</v>
      </c>
      <c r="O60" s="32">
        <v>0</v>
      </c>
      <c r="P60" s="11" t="s">
        <v>212</v>
      </c>
      <c r="Q60" s="11" cm="1">
        <f t="array" ref="Q60">INDEX($AG$2:$AG$11,MATCH(P60,$AF$2:$AF$11,0),)</f>
        <v>4</v>
      </c>
      <c r="R60" s="60" cm="1">
        <f t="array" ref="R60">INDEX($BM$2:$BM$11,MATCH(P60,$BL$2:$BL$11,0),)</f>
        <v>9</v>
      </c>
    </row>
    <row r="61" spans="14:18">
      <c r="N61" s="9" t="s">
        <v>152</v>
      </c>
      <c r="O61" s="32">
        <v>0</v>
      </c>
      <c r="P61" s="11" t="s">
        <v>212</v>
      </c>
      <c r="Q61" s="11" cm="1">
        <f t="array" ref="Q61">INDEX($AG$2:$AG$11,MATCH(P61,$AF$2:$AF$11,0),)</f>
        <v>4</v>
      </c>
      <c r="R61" s="60" cm="1">
        <f t="array" ref="R61">INDEX($BM$2:$BM$11,MATCH(P61,$BL$2:$BL$11,0),)</f>
        <v>9</v>
      </c>
    </row>
    <row r="62" spans="14:18">
      <c r="N62" s="9" t="s">
        <v>153</v>
      </c>
      <c r="O62" s="32">
        <v>2250000</v>
      </c>
      <c r="P62" s="11" t="s">
        <v>212</v>
      </c>
      <c r="Q62" s="11" cm="1">
        <f t="array" ref="Q62">INDEX($AG$2:$AG$11,MATCH(P62,$AF$2:$AF$11,0),)</f>
        <v>4</v>
      </c>
      <c r="R62" s="60" cm="1">
        <f t="array" ref="R62">INDEX($BM$2:$BM$11,MATCH(P62,$BL$2:$BL$11,0),)</f>
        <v>9</v>
      </c>
    </row>
    <row r="63" spans="14:18">
      <c r="N63" s="9" t="s">
        <v>154</v>
      </c>
      <c r="O63" s="32">
        <v>0</v>
      </c>
      <c r="P63" s="11" t="s">
        <v>212</v>
      </c>
      <c r="Q63" s="11" cm="1">
        <f t="array" ref="Q63">INDEX($AG$2:$AG$11,MATCH(P63,$AF$2:$AF$11,0),)</f>
        <v>4</v>
      </c>
      <c r="R63" s="60" cm="1">
        <f t="array" ref="R63">INDEX($BM$2:$BM$11,MATCH(P63,$BL$2:$BL$11,0),)</f>
        <v>9</v>
      </c>
    </row>
    <row r="64" spans="14:18">
      <c r="N64" s="9" t="s">
        <v>155</v>
      </c>
      <c r="O64" s="32">
        <v>0</v>
      </c>
      <c r="P64" s="11" t="s">
        <v>212</v>
      </c>
      <c r="Q64" s="11" cm="1">
        <f t="array" ref="Q64">INDEX($AG$2:$AG$11,MATCH(P64,$AF$2:$AF$11,0),)</f>
        <v>4</v>
      </c>
      <c r="R64" s="60" cm="1">
        <f t="array" ref="R64">INDEX($BM$2:$BM$11,MATCH(P64,$BL$2:$BL$11,0),)</f>
        <v>9</v>
      </c>
    </row>
    <row r="65" spans="14:18">
      <c r="N65" s="9" t="s">
        <v>156</v>
      </c>
      <c r="O65" s="32">
        <v>0</v>
      </c>
      <c r="P65" s="11" t="s">
        <v>212</v>
      </c>
      <c r="Q65" s="11" cm="1">
        <f t="array" ref="Q65">INDEX($AG$2:$AG$11,MATCH(P65,$AF$2:$AF$11,0),)</f>
        <v>4</v>
      </c>
      <c r="R65" s="60" cm="1">
        <f t="array" ref="R65">INDEX($BM$2:$BM$11,MATCH(P65,$BL$2:$BL$11,0),)</f>
        <v>9</v>
      </c>
    </row>
    <row r="66" spans="14:18">
      <c r="N66" s="9" t="s">
        <v>157</v>
      </c>
      <c r="O66" s="32">
        <v>0</v>
      </c>
      <c r="P66" s="11" t="s">
        <v>212</v>
      </c>
      <c r="Q66" s="11" cm="1">
        <f t="array" ref="Q66">INDEX($AG$2:$AG$11,MATCH(P66,$AF$2:$AF$11,0),)</f>
        <v>4</v>
      </c>
      <c r="R66" s="60" cm="1">
        <f t="array" ref="R66">INDEX($BM$2:$BM$11,MATCH(P66,$BL$2:$BL$11,0),)</f>
        <v>9</v>
      </c>
    </row>
    <row r="67" spans="14:18">
      <c r="N67" s="9" t="s">
        <v>158</v>
      </c>
      <c r="O67" s="32">
        <v>0</v>
      </c>
      <c r="P67" s="11" t="s">
        <v>212</v>
      </c>
      <c r="Q67" s="11" cm="1">
        <f t="array" ref="Q67">INDEX($AG$2:$AG$11,MATCH(P67,$AF$2:$AF$11,0),)</f>
        <v>4</v>
      </c>
      <c r="R67" s="60" cm="1">
        <f t="array" ref="R67">INDEX($BM$2:$BM$11,MATCH(P67,$BL$2:$BL$11,0),)</f>
        <v>9</v>
      </c>
    </row>
    <row r="68" spans="14:18">
      <c r="N68" s="9" t="s">
        <v>159</v>
      </c>
      <c r="O68" s="32">
        <v>0</v>
      </c>
      <c r="P68" s="11" t="s">
        <v>212</v>
      </c>
      <c r="Q68" s="11" cm="1">
        <f t="array" ref="Q68">INDEX($AG$2:$AG$11,MATCH(P68,$AF$2:$AF$11,0),)</f>
        <v>4</v>
      </c>
      <c r="R68" s="60" cm="1">
        <f t="array" ref="R68">INDEX($BM$2:$BM$11,MATCH(P68,$BL$2:$BL$11,0),)</f>
        <v>9</v>
      </c>
    </row>
    <row r="69" spans="14:18">
      <c r="N69" s="9" t="s">
        <v>160</v>
      </c>
      <c r="O69" s="32">
        <v>0</v>
      </c>
      <c r="P69" s="11" t="s">
        <v>212</v>
      </c>
      <c r="Q69" s="11" cm="1">
        <f t="array" ref="Q69">INDEX($AG$2:$AG$11,MATCH(P69,$AF$2:$AF$11,0),)</f>
        <v>4</v>
      </c>
      <c r="R69" s="60" cm="1">
        <f t="array" ref="R69">INDEX($BM$2:$BM$11,MATCH(P69,$BL$2:$BL$11,0),)</f>
        <v>9</v>
      </c>
    </row>
    <row r="70" spans="14:18">
      <c r="N70" s="9" t="s">
        <v>161</v>
      </c>
      <c r="O70" s="32">
        <v>0</v>
      </c>
      <c r="P70" s="11" t="s">
        <v>212</v>
      </c>
      <c r="Q70" s="11" cm="1">
        <f t="array" ref="Q70">INDEX($AG$2:$AG$11,MATCH(P70,$AF$2:$AF$11,0),)</f>
        <v>4</v>
      </c>
      <c r="R70" s="60" cm="1">
        <f t="array" ref="R70">INDEX($BM$2:$BM$11,MATCH(P70,$BL$2:$BL$11,0),)</f>
        <v>9</v>
      </c>
    </row>
    <row r="71" spans="14:18">
      <c r="N71" s="9" t="s">
        <v>162</v>
      </c>
      <c r="O71" s="32">
        <v>0</v>
      </c>
      <c r="P71" s="11" t="s">
        <v>212</v>
      </c>
      <c r="Q71" s="11" cm="1">
        <f t="array" ref="Q71">INDEX($AG$2:$AG$11,MATCH(P71,$AF$2:$AF$11,0),)</f>
        <v>4</v>
      </c>
      <c r="R71" s="60" cm="1">
        <f t="array" ref="R71">INDEX($BM$2:$BM$11,MATCH(P71,$BL$2:$BL$11,0),)</f>
        <v>9</v>
      </c>
    </row>
    <row r="72" spans="14:18" ht="15">
      <c r="N72" s="22" t="s">
        <v>176</v>
      </c>
      <c r="O72" s="36">
        <f>SUM(O2:O71)</f>
        <v>1860125000</v>
      </c>
      <c r="P72" s="11"/>
      <c r="Q72" s="11"/>
    </row>
    <row r="73" spans="14:18">
      <c r="O73" s="3"/>
    </row>
    <row r="74" spans="14:18">
      <c r="O74" s="3"/>
    </row>
    <row r="75" spans="14:18">
      <c r="O75" s="3"/>
    </row>
    <row r="76" spans="14:18">
      <c r="O76" s="3"/>
    </row>
    <row r="77" spans="14:18">
      <c r="O77" s="3"/>
    </row>
    <row r="78" spans="14:18">
      <c r="O78" s="3"/>
    </row>
    <row r="79" spans="14:18">
      <c r="O79" s="3"/>
    </row>
    <row r="80" spans="14:18">
      <c r="O80" s="3"/>
    </row>
    <row r="81" spans="15:15">
      <c r="O81" s="3"/>
    </row>
    <row r="82" spans="15:15">
      <c r="O82" s="3"/>
    </row>
    <row r="83" spans="15:15">
      <c r="O83" s="3"/>
    </row>
    <row r="84" spans="15:15">
      <c r="O84" s="3"/>
    </row>
    <row r="85" spans="15:15">
      <c r="O85" s="3"/>
    </row>
    <row r="86" spans="15:15">
      <c r="O86" s="3"/>
    </row>
    <row r="87" spans="15:15">
      <c r="O87" s="3"/>
    </row>
    <row r="88" spans="15:15">
      <c r="O88" s="3"/>
    </row>
    <row r="89" spans="15:15">
      <c r="O89" s="3"/>
    </row>
    <row r="90" spans="15:15">
      <c r="O90" s="3"/>
    </row>
    <row r="91" spans="15:15">
      <c r="O91" s="3"/>
    </row>
    <row r="92" spans="15:15">
      <c r="O92" s="3"/>
    </row>
    <row r="93" spans="15:15">
      <c r="O93" s="3"/>
    </row>
    <row r="94" spans="15:15">
      <c r="O9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FEF38-2C87-4D35-A2FD-6D1063C4FE5F}">
  <sheetPr>
    <tabColor theme="5" tint="0.79998168889431442"/>
  </sheetPr>
  <dimension ref="A1:P28"/>
  <sheetViews>
    <sheetView showGridLines="0" zoomScale="60" zoomScaleNormal="60" workbookViewId="0">
      <selection sqref="A1:H1"/>
    </sheetView>
  </sheetViews>
  <sheetFormatPr baseColWidth="10" defaultColWidth="11.5" defaultRowHeight="14.25"/>
  <cols>
    <col min="1" max="1" width="64.125" style="3" bestFit="1" customWidth="1"/>
    <col min="2" max="2" width="10.75" style="3" bestFit="1" customWidth="1"/>
    <col min="3" max="3" width="16.75" style="3" bestFit="1" customWidth="1"/>
    <col min="4" max="4" width="14.75" style="3" bestFit="1" customWidth="1"/>
    <col min="5" max="5" width="13" style="3" bestFit="1" customWidth="1"/>
    <col min="6" max="16384" width="11.5" style="3"/>
  </cols>
  <sheetData>
    <row r="1" spans="1:16" ht="15.75" thickBot="1">
      <c r="A1" s="206" t="s">
        <v>182</v>
      </c>
      <c r="B1" s="207"/>
      <c r="C1" s="207"/>
      <c r="D1" s="207"/>
      <c r="E1" s="207"/>
      <c r="F1" s="207"/>
      <c r="G1" s="207"/>
      <c r="H1" s="207"/>
    </row>
    <row r="2" spans="1:16" s="26" customFormat="1" ht="18" customHeight="1" thickBot="1">
      <c r="A2" s="37" t="s">
        <v>346</v>
      </c>
      <c r="B2" s="38" t="s">
        <v>122</v>
      </c>
      <c r="C2" s="38"/>
      <c r="D2" s="38"/>
      <c r="E2" s="38"/>
      <c r="F2" s="38"/>
      <c r="G2" s="38"/>
      <c r="H2" s="38"/>
      <c r="K2" s="212" t="s">
        <v>425</v>
      </c>
      <c r="L2" s="213"/>
      <c r="M2" s="211" t="s">
        <v>424</v>
      </c>
      <c r="N2" s="209"/>
      <c r="O2" s="209"/>
      <c r="P2" s="209"/>
    </row>
    <row r="3" spans="1:16" ht="15">
      <c r="A3" s="83" t="s">
        <v>56</v>
      </c>
      <c r="B3" s="83"/>
      <c r="C3" s="83"/>
      <c r="D3" s="83"/>
      <c r="E3" s="147" t="s">
        <v>467</v>
      </c>
      <c r="F3" s="83"/>
      <c r="G3" s="83"/>
      <c r="H3" s="83"/>
      <c r="I3" s="124" t="s">
        <v>243</v>
      </c>
      <c r="K3" s="214"/>
      <c r="L3" s="215"/>
      <c r="M3" s="123" t="s">
        <v>243</v>
      </c>
      <c r="N3" s="123" t="s">
        <v>242</v>
      </c>
      <c r="O3" s="123" t="s">
        <v>208</v>
      </c>
      <c r="P3" s="123" t="s">
        <v>183</v>
      </c>
    </row>
    <row r="4" spans="1:16" ht="15">
      <c r="A4" s="84" t="s">
        <v>57</v>
      </c>
      <c r="B4" s="50" t="str">
        <f>INDEX('FITCH DATA'!$V$2:$V$5,MATCH(C4,'FITCH DATA'!$T$2:$T$5,1))</f>
        <v>Excellent</v>
      </c>
      <c r="C4" s="85">
        <f>C5/C6</f>
        <v>0.98831020608707942</v>
      </c>
      <c r="D4" s="85"/>
      <c r="E4" s="84"/>
      <c r="F4" s="84"/>
      <c r="G4" s="84"/>
      <c r="H4" s="84"/>
      <c r="K4" s="208" t="s">
        <v>423</v>
      </c>
      <c r="L4" s="123" t="s">
        <v>206</v>
      </c>
      <c r="M4" s="3" t="s">
        <v>445</v>
      </c>
      <c r="N4" s="3" t="s">
        <v>418</v>
      </c>
      <c r="O4" s="3" t="s">
        <v>419</v>
      </c>
      <c r="P4" s="3" t="s">
        <v>420</v>
      </c>
    </row>
    <row r="5" spans="1:16" ht="15">
      <c r="A5" s="31" t="s">
        <v>59</v>
      </c>
      <c r="B5" s="31"/>
      <c r="C5" s="34">
        <f>'FITCH DATA'!B2</f>
        <v>5133301000</v>
      </c>
      <c r="D5" s="34"/>
      <c r="E5" s="3" t="b">
        <f>C5='FITCH DATA'!B2</f>
        <v>1</v>
      </c>
      <c r="K5" s="209"/>
      <c r="L5" s="123" t="s">
        <v>207</v>
      </c>
      <c r="M5" s="3" t="s">
        <v>418</v>
      </c>
      <c r="N5" s="3" t="s">
        <v>419</v>
      </c>
      <c r="O5" s="3" t="s">
        <v>420</v>
      </c>
      <c r="P5" s="3" t="s">
        <v>421</v>
      </c>
    </row>
    <row r="6" spans="1:16" ht="15">
      <c r="A6" s="31" t="s">
        <v>60</v>
      </c>
      <c r="B6" s="31"/>
      <c r="C6" s="34">
        <f>'FITCH DATA'!B5</f>
        <v>5194018000</v>
      </c>
      <c r="E6" s="3" t="b">
        <f>'FITCH DATA'!B4+'FITCH DATA'!B3=SOLVENCY!C6</f>
        <v>1</v>
      </c>
      <c r="K6" s="209"/>
      <c r="L6" s="123" t="s">
        <v>417</v>
      </c>
      <c r="M6" s="3" t="s">
        <v>419</v>
      </c>
      <c r="N6" s="3" t="s">
        <v>420</v>
      </c>
      <c r="O6" s="3" t="s">
        <v>421</v>
      </c>
      <c r="P6" s="3" t="s">
        <v>422</v>
      </c>
    </row>
    <row r="7" spans="1:16" ht="15">
      <c r="A7" s="31"/>
      <c r="B7" s="31"/>
      <c r="K7" s="210"/>
      <c r="L7" s="123" t="s">
        <v>209</v>
      </c>
      <c r="M7" s="3" t="s">
        <v>420</v>
      </c>
      <c r="N7" s="3" t="s">
        <v>421</v>
      </c>
      <c r="O7" s="3" t="s">
        <v>422</v>
      </c>
      <c r="P7" s="3" t="s">
        <v>446</v>
      </c>
    </row>
    <row r="8" spans="1:16" ht="15">
      <c r="A8" s="84" t="s">
        <v>58</v>
      </c>
      <c r="B8" s="50" t="str" cm="1">
        <f t="array" ref="B8">INDEX('FITCH DATA'!$Z$2:$Z$5,MATCH(C8,'FITCH DATA'!$X$2:$X$5,1),)</f>
        <v>Excellent</v>
      </c>
      <c r="C8" s="85">
        <f>C9/C10</f>
        <v>1.2614315290243707</v>
      </c>
      <c r="D8" s="85"/>
      <c r="E8" s="84"/>
      <c r="F8" s="84"/>
      <c r="G8" s="84"/>
      <c r="H8" s="84"/>
      <c r="K8" s="204" t="str">
        <f>INDEX(M4:P7,MATCH(I11,L4:L7,0),MATCH(I3,M3:P3,0))</f>
        <v>aa/a</v>
      </c>
      <c r="L8" s="204"/>
      <c r="M8" s="204"/>
      <c r="N8" s="204"/>
      <c r="O8" s="204"/>
      <c r="P8" s="204"/>
    </row>
    <row r="9" spans="1:16">
      <c r="A9" s="45" t="s">
        <v>271</v>
      </c>
      <c r="B9" s="45"/>
      <c r="C9" s="86">
        <f>'FITCH DATA'!B2+('FITCH DATA'!B6*10%)</f>
        <v>5133301000</v>
      </c>
      <c r="E9" s="3" t="b">
        <f>C9='FITCH DATA'!B2</f>
        <v>1</v>
      </c>
      <c r="K9" s="204"/>
      <c r="L9" s="204"/>
      <c r="M9" s="204"/>
      <c r="N9" s="204"/>
      <c r="O9" s="204"/>
      <c r="P9" s="204"/>
    </row>
    <row r="10" spans="1:16" ht="15" thickBot="1">
      <c r="A10" s="31" t="s">
        <v>61</v>
      </c>
      <c r="B10" s="31"/>
      <c r="C10" s="60">
        <f>('FITCH DATA'!B10)*100%+'FITCH DATA'!B11+('FITCH DATA'!B16)*250%+('FITCH DATA'!B21)*100%</f>
        <v>4069425000</v>
      </c>
      <c r="E10" s="3" t="b">
        <f>C10&lt;C6</f>
        <v>1</v>
      </c>
      <c r="K10" s="98" t="str">
        <f>LEFT(K8,FIND("/",K8)-1)</f>
        <v>aa</v>
      </c>
      <c r="L10" s="131" t="str">
        <f>RIGHT(K8,LEN(K8)-FIND("/",K8))</f>
        <v>a</v>
      </c>
    </row>
    <row r="11" spans="1:16" ht="15">
      <c r="A11" s="73" t="s">
        <v>62</v>
      </c>
      <c r="B11" s="73"/>
      <c r="C11" s="73"/>
      <c r="D11" s="73"/>
      <c r="E11" s="147" t="s">
        <v>467</v>
      </c>
      <c r="F11" s="73"/>
      <c r="G11" s="73"/>
      <c r="H11" s="73"/>
      <c r="I11" s="124" t="s">
        <v>417</v>
      </c>
      <c r="K11" s="216" t="s">
        <v>440</v>
      </c>
      <c r="L11" s="216"/>
      <c r="M11" s="216"/>
      <c r="N11" s="216"/>
      <c r="O11" s="216"/>
      <c r="P11" s="216"/>
    </row>
    <row r="12" spans="1:16" ht="15">
      <c r="A12" s="84" t="s">
        <v>63</v>
      </c>
      <c r="B12" s="87"/>
      <c r="C12" s="84"/>
      <c r="D12" s="84"/>
      <c r="E12" s="84"/>
      <c r="F12" s="84"/>
      <c r="G12" s="84"/>
      <c r="H12" s="84"/>
    </row>
    <row r="13" spans="1:16" ht="15">
      <c r="A13" s="88" t="s">
        <v>199</v>
      </c>
      <c r="B13" s="50" t="str">
        <f>VLOOKUP(ROUNDUP(SUMPRODUCT('FITCH DATA'!$O$2:$O$62,'FITCH DATA'!Q2:Q62)/SUM('FITCH DATA'!$O$2:$O$62),0),'FITCH DATA'!$AG$2:$AH$11,2,TRUE)</f>
        <v>High</v>
      </c>
      <c r="C13" s="88"/>
      <c r="D13" s="88"/>
      <c r="E13" s="3" t="b" cm="1">
        <f t="array" ref="E13">INDEX('FITCH DATA'!AH2:AH11,MATCH(ROUNDUP(SUMPRODUCT('FITCH DATA'!$O$2:$O$62,'FITCH DATA'!Q2:Q62)/SUM('FITCH DATA'!$O$2:$O$62),0),'FITCH DATA'!AG2:AG11,0),)=B13</f>
        <v>1</v>
      </c>
      <c r="F13" s="88"/>
      <c r="G13" s="88"/>
      <c r="H13" s="88"/>
    </row>
    <row r="14" spans="1:16">
      <c r="A14" s="3" t="s">
        <v>385</v>
      </c>
      <c r="B14" s="31"/>
      <c r="C14" s="89">
        <f>SUMPRODUCT('FITCH DATA'!$O$2:$O$71,'FITCH DATA'!Q2:Q71)/SUM('FITCH DATA'!$O$2:$O$71)</f>
        <v>3.9298444996976007</v>
      </c>
      <c r="E14" s="31"/>
      <c r="F14" s="31"/>
      <c r="G14" s="31"/>
      <c r="H14" s="31"/>
      <c r="K14" s="217" t="s">
        <v>451</v>
      </c>
      <c r="L14" s="217"/>
      <c r="M14" s="217"/>
      <c r="N14" s="217"/>
      <c r="O14" s="217"/>
      <c r="P14" s="217"/>
    </row>
    <row r="15" spans="1:16" ht="15">
      <c r="A15" s="3" t="s">
        <v>376</v>
      </c>
      <c r="B15" s="127" cm="1">
        <f t="array" ref="B15">+INDEX('FITCH DATA'!$AD$2:$AD$5,MATCH(SOLVENCY!$C$15,'FITCH DATA'!$AB$2:$AB$5,0),)</f>
        <v>2</v>
      </c>
      <c r="C15" s="97" t="s">
        <v>242</v>
      </c>
    </row>
    <row r="16" spans="1:16" ht="15">
      <c r="A16" s="3" t="s">
        <v>64</v>
      </c>
      <c r="B16" s="127">
        <v>0</v>
      </c>
      <c r="D16" s="65"/>
    </row>
    <row r="17" spans="1:14" ht="15">
      <c r="A17" s="88" t="s">
        <v>274</v>
      </c>
      <c r="B17" s="50" t="str" cm="1">
        <f t="array" ref="B17">INDEX('FITCH DATA'!$AL$2:$AL$5,MATCH(SOLVENCY!$C$17,'FITCH DATA'!$AJ$2:$AJ$5,-1),)</f>
        <v>High</v>
      </c>
      <c r="C17" s="90">
        <f>C18/C19</f>
        <v>0.11811854258451478</v>
      </c>
      <c r="D17" s="88"/>
      <c r="E17" s="88"/>
      <c r="F17" s="88"/>
      <c r="G17" s="88"/>
      <c r="H17" s="88"/>
    </row>
    <row r="18" spans="1:14">
      <c r="A18" s="3" t="s">
        <v>65</v>
      </c>
      <c r="C18" s="34">
        <f>'FITCH DATA'!B22</f>
        <v>227300000</v>
      </c>
      <c r="D18" s="65"/>
      <c r="E18" s="3" t="b">
        <f>SOLVENCY!C18='FITCH DATA'!B22</f>
        <v>1</v>
      </c>
    </row>
    <row r="19" spans="1:14">
      <c r="A19" s="3" t="s">
        <v>66</v>
      </c>
      <c r="C19" s="34">
        <f>'FITCH DATA'!B10</f>
        <v>1924338000</v>
      </c>
      <c r="D19" s="65"/>
      <c r="E19" s="3" t="b">
        <f>C19='FITCH DATA'!B10</f>
        <v>1</v>
      </c>
    </row>
    <row r="20" spans="1:14" ht="15">
      <c r="A20" s="84" t="s">
        <v>0</v>
      </c>
      <c r="B20" s="50" t="str" cm="1">
        <f t="array" ref="B20">INDEX('FITCH DATA'!$AP$2:$AP$5,MATCH(SOLVENCY!$C$20,'FITCH DATA'!$AN$2:$AN$5,-1),)</f>
        <v>Very Low</v>
      </c>
      <c r="C20" s="91">
        <f>C21/C22</f>
        <v>0.18018985029457793</v>
      </c>
      <c r="D20" s="84"/>
      <c r="E20" s="84"/>
      <c r="F20" s="84"/>
      <c r="G20" s="84"/>
      <c r="H20" s="84"/>
    </row>
    <row r="21" spans="1:14">
      <c r="A21" s="3" t="s">
        <v>67</v>
      </c>
      <c r="C21" s="33">
        <f>SUM(LARGE('FITCH DATA'!$O$2:$O$71,1),LARGE('FITCH DATA'!$O$2:$O$71,2),LARGE('FITCH DATA'!$O$2:$O$71,3),LARGE('FITCH DATA'!$O$2:$O$71,4),LARGE('FITCH DATA'!$O$2:$O$71,5))</f>
        <v>501095000</v>
      </c>
      <c r="D21" s="65"/>
      <c r="E21" s="3" t="b">
        <f>C21=LARGE('FITCH DATA'!O2:O71,1)+LARGE('FITCH DATA'!O2:O71,2)+LARGE('FITCH DATA'!O2:O71,3)+LARGE('FITCH DATA'!O2:O71,4)+LARGE('FITCH DATA'!O2:O71,5)</f>
        <v>1</v>
      </c>
      <c r="K21" s="205"/>
      <c r="L21" s="205"/>
      <c r="M21" s="205"/>
      <c r="N21" s="130"/>
    </row>
    <row r="22" spans="1:14">
      <c r="A22" s="3" t="s">
        <v>68</v>
      </c>
      <c r="C22" s="70">
        <f>'FITCH DATA'!B10+'FITCH DATA'!B12+'FITCH DATA'!B11+'FITCH DATA'!B23+'FITCH DATA'!B24</f>
        <v>2780928000</v>
      </c>
      <c r="E22" s="3" t="b">
        <f>C22='FITCH DATA'!B10+'FITCH DATA'!B12+'FITCH DATA'!B15</f>
        <v>1</v>
      </c>
      <c r="M22"/>
      <c r="N22" s="98"/>
    </row>
    <row r="23" spans="1:14" ht="15">
      <c r="A23" s="84" t="s">
        <v>69</v>
      </c>
      <c r="B23" s="50" t="str" cm="1">
        <f t="array" ref="B23">INDEX('FITCH DATA'!$AT$2:$AT$5,MATCH(SOLVENCY!$C$23,'FITCH DATA'!$AR$2:$AR$5,-1),)</f>
        <v>High</v>
      </c>
      <c r="C23" s="91">
        <f>C24/C25</f>
        <v>0.30802307718862193</v>
      </c>
      <c r="D23" s="84"/>
      <c r="E23" s="84"/>
      <c r="F23" s="84"/>
      <c r="G23" s="84"/>
      <c r="H23" s="84"/>
    </row>
    <row r="24" spans="1:14">
      <c r="A24" s="3" t="s">
        <v>70</v>
      </c>
      <c r="C24" s="70">
        <f>+'FITCH DATA'!B12+'FITCH DATA'!B23+'FITCH DATA'!B24</f>
        <v>856590000</v>
      </c>
      <c r="D24" s="65"/>
      <c r="E24" s="3" t="b">
        <f>C24='FITCH DATA'!B12+'FITCH DATA'!B15</f>
        <v>1</v>
      </c>
    </row>
    <row r="25" spans="1:14">
      <c r="A25" s="3" t="s">
        <v>68</v>
      </c>
      <c r="C25" s="70">
        <f>'FITCH DATA'!B10+'FITCH DATA'!B12+'FITCH DATA'!B11+'FITCH DATA'!B15</f>
        <v>2780928000</v>
      </c>
      <c r="D25" s="65"/>
      <c r="E25" s="3" t="b">
        <f>C25='FITCH DATA'!B10+'FITCH DATA'!B12+'FITCH DATA'!B15</f>
        <v>1</v>
      </c>
    </row>
    <row r="27" spans="1:14" ht="15">
      <c r="B27" s="126"/>
      <c r="C27" s="126"/>
      <c r="D27" s="126"/>
      <c r="E27" s="126"/>
      <c r="F27" s="126"/>
      <c r="G27" s="126"/>
      <c r="H27" s="126"/>
    </row>
    <row r="28" spans="1:14">
      <c r="D28" s="65"/>
    </row>
  </sheetData>
  <mergeCells count="8">
    <mergeCell ref="K8:P9"/>
    <mergeCell ref="K21:M21"/>
    <mergeCell ref="A1:H1"/>
    <mergeCell ref="K4:K7"/>
    <mergeCell ref="M2:P2"/>
    <mergeCell ref="K2:L3"/>
    <mergeCell ref="K11:P11"/>
    <mergeCell ref="K14:P14"/>
  </mergeCells>
  <conditionalFormatting sqref="E6">
    <cfRule type="cellIs" dxfId="19" priority="11" operator="equal">
      <formula>TRUE</formula>
    </cfRule>
  </conditionalFormatting>
  <conditionalFormatting sqref="E5">
    <cfRule type="cellIs" dxfId="18" priority="10" operator="equal">
      <formula>TRUE</formula>
    </cfRule>
  </conditionalFormatting>
  <conditionalFormatting sqref="E13">
    <cfRule type="cellIs" dxfId="17" priority="9" operator="equal">
      <formula>TRUE</formula>
    </cfRule>
  </conditionalFormatting>
  <conditionalFormatting sqref="E9">
    <cfRule type="cellIs" dxfId="16" priority="8" operator="equal">
      <formula>TRUE</formula>
    </cfRule>
  </conditionalFormatting>
  <conditionalFormatting sqref="E10">
    <cfRule type="cellIs" dxfId="15" priority="7" operator="equal">
      <formula>TRUE</formula>
    </cfRule>
  </conditionalFormatting>
  <conditionalFormatting sqref="E24">
    <cfRule type="cellIs" dxfId="14" priority="6" operator="equal">
      <formula>TRUE</formula>
    </cfRule>
  </conditionalFormatting>
  <conditionalFormatting sqref="E19">
    <cfRule type="cellIs" dxfId="13" priority="5" operator="equal">
      <formula>TRUE</formula>
    </cfRule>
  </conditionalFormatting>
  <conditionalFormatting sqref="E18">
    <cfRule type="cellIs" dxfId="12" priority="4" operator="equal">
      <formula>TRUE</formula>
    </cfRule>
  </conditionalFormatting>
  <conditionalFormatting sqref="E21">
    <cfRule type="cellIs" dxfId="11" priority="3" operator="equal">
      <formula>TRUE</formula>
    </cfRule>
  </conditionalFormatting>
  <conditionalFormatting sqref="E22">
    <cfRule type="cellIs" dxfId="10" priority="2" operator="equal">
      <formula>TRUE</formula>
    </cfRule>
  </conditionalFormatting>
  <conditionalFormatting sqref="E25">
    <cfRule type="cellIs" dxfId="9" priority="1" operator="equal">
      <formula>TRUE</formula>
    </cfRule>
  </conditionalFormatting>
  <dataValidations count="4">
    <dataValidation type="list" allowBlank="1" showInputMessage="1" showErrorMessage="1" sqref="C15" xr:uid="{34B0060C-38AB-484C-B99B-6F157247CE71}">
      <formula1>"Excellent,Strong,Moderate,Weak"</formula1>
    </dataValidation>
    <dataValidation type="list" allowBlank="1" showInputMessage="1" showErrorMessage="1" sqref="I3:J3" xr:uid="{5B7E2C37-EFCF-43AC-B3AC-B7CED96BC260}">
      <formula1>$M$3:$P$3</formula1>
    </dataValidation>
    <dataValidation type="list" allowBlank="1" showInputMessage="1" showErrorMessage="1" sqref="I11" xr:uid="{37BFC784-0757-478C-A3B3-B911C45B6268}">
      <formula1>$L$4:$L$7</formula1>
    </dataValidation>
    <dataValidation type="list" allowBlank="1" showInputMessage="1" showErrorMessage="1" sqref="K11" xr:uid="{D4FA3E09-A187-47DE-95BE-EE694BFF2F5D}">
      <formula1>$K$10:$L$10</formula1>
    </dataValidation>
  </dataValidations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409F-108C-4DB1-95E0-3DD30E5EBF1D}">
  <sheetPr>
    <tabColor theme="5" tint="0.79998168889431442"/>
  </sheetPr>
  <dimension ref="A1:P45"/>
  <sheetViews>
    <sheetView showGridLines="0" zoomScale="60" zoomScaleNormal="60" workbookViewId="0">
      <selection sqref="A1:H1"/>
    </sheetView>
  </sheetViews>
  <sheetFormatPr baseColWidth="10" defaultColWidth="11.5" defaultRowHeight="14.25"/>
  <cols>
    <col min="1" max="1" width="103.75" style="3" bestFit="1" customWidth="1"/>
    <col min="2" max="2" width="16.5" style="3" bestFit="1" customWidth="1"/>
    <col min="3" max="3" width="16.75" style="3" bestFit="1" customWidth="1"/>
    <col min="4" max="4" width="15.5" style="3" bestFit="1" customWidth="1"/>
    <col min="5" max="16384" width="11.5" style="3"/>
  </cols>
  <sheetData>
    <row r="1" spans="1:16" ht="15.75" thickBot="1">
      <c r="A1" s="206" t="s">
        <v>182</v>
      </c>
      <c r="B1" s="207"/>
      <c r="C1" s="207"/>
      <c r="D1" s="207"/>
      <c r="E1" s="207"/>
      <c r="F1" s="207"/>
      <c r="G1" s="207"/>
      <c r="H1" s="207"/>
    </row>
    <row r="2" spans="1:16" s="26" customFormat="1" ht="18" customHeight="1" thickBot="1">
      <c r="A2" s="37" t="s">
        <v>346</v>
      </c>
      <c r="B2" s="38" t="s">
        <v>122</v>
      </c>
      <c r="C2" s="38"/>
      <c r="D2" s="38"/>
      <c r="E2" s="38"/>
      <c r="F2" s="38"/>
      <c r="G2" s="38"/>
      <c r="H2" s="38"/>
      <c r="K2" s="212" t="s">
        <v>426</v>
      </c>
      <c r="L2" s="213"/>
      <c r="M2" s="211" t="s">
        <v>427</v>
      </c>
      <c r="N2" s="209"/>
      <c r="O2" s="209"/>
      <c r="P2" s="209"/>
    </row>
    <row r="3" spans="1:16" ht="15">
      <c r="A3" s="83" t="s">
        <v>71</v>
      </c>
      <c r="B3" s="83"/>
      <c r="C3" s="83"/>
      <c r="D3" s="147" t="s">
        <v>467</v>
      </c>
      <c r="E3" s="83"/>
      <c r="F3" s="83"/>
      <c r="G3" s="83"/>
      <c r="H3" s="83"/>
      <c r="I3" s="124" t="s">
        <v>243</v>
      </c>
      <c r="K3" s="214"/>
      <c r="L3" s="215"/>
      <c r="M3" s="123" t="s">
        <v>243</v>
      </c>
      <c r="N3" s="123" t="s">
        <v>242</v>
      </c>
      <c r="O3" s="123" t="s">
        <v>208</v>
      </c>
      <c r="P3" s="123" t="s">
        <v>183</v>
      </c>
    </row>
    <row r="4" spans="1:16" ht="15">
      <c r="A4" s="84" t="s">
        <v>72</v>
      </c>
      <c r="B4" s="50" t="s">
        <v>212</v>
      </c>
      <c r="C4" s="84"/>
      <c r="D4" s="84"/>
      <c r="E4" s="84"/>
      <c r="F4" s="84"/>
      <c r="G4" s="84"/>
      <c r="H4" s="84"/>
      <c r="K4" s="218" t="s">
        <v>428</v>
      </c>
      <c r="L4" s="123" t="s">
        <v>206</v>
      </c>
      <c r="M4" s="3" t="s">
        <v>445</v>
      </c>
      <c r="N4" s="3" t="s">
        <v>418</v>
      </c>
      <c r="O4" s="3" t="s">
        <v>419</v>
      </c>
      <c r="P4" s="3" t="s">
        <v>420</v>
      </c>
    </row>
    <row r="5" spans="1:16" ht="15">
      <c r="A5" s="31" t="s">
        <v>41</v>
      </c>
      <c r="B5" s="44"/>
      <c r="C5" s="60">
        <f>'FITCH DATA'!B25+'FITCH DATA'!B17+'FITCH DATA'!B18-'FITCH DATA'!B34</f>
        <v>1532998000</v>
      </c>
      <c r="D5" s="3" t="b">
        <f>C4&lt;='FITCH DATA'!B26+'FITCH DATA'!B25+'FITCH DATA'!B17+'FITCH DATA'!B18</f>
        <v>1</v>
      </c>
      <c r="K5" s="209"/>
      <c r="L5" s="123" t="s">
        <v>207</v>
      </c>
      <c r="M5" s="3" t="s">
        <v>418</v>
      </c>
      <c r="N5" s="3" t="s">
        <v>419</v>
      </c>
      <c r="O5" s="3" t="s">
        <v>420</v>
      </c>
      <c r="P5" s="3" t="s">
        <v>421</v>
      </c>
    </row>
    <row r="6" spans="1:16" ht="15">
      <c r="A6" s="31" t="s">
        <v>73</v>
      </c>
      <c r="B6" s="44"/>
      <c r="C6" s="3">
        <v>0</v>
      </c>
      <c r="K6" s="209"/>
      <c r="L6" s="123" t="s">
        <v>417</v>
      </c>
      <c r="M6" s="3" t="s">
        <v>419</v>
      </c>
      <c r="N6" s="3" t="s">
        <v>420</v>
      </c>
      <c r="O6" s="3" t="s">
        <v>421</v>
      </c>
      <c r="P6" s="3" t="s">
        <v>422</v>
      </c>
    </row>
    <row r="7" spans="1:16" ht="15.75" thickBot="1">
      <c r="A7" s="31"/>
      <c r="B7" s="44"/>
      <c r="K7" s="209"/>
      <c r="L7" s="123" t="s">
        <v>209</v>
      </c>
      <c r="M7" s="3" t="s">
        <v>420</v>
      </c>
      <c r="N7" s="3" t="s">
        <v>421</v>
      </c>
      <c r="O7" s="3" t="s">
        <v>422</v>
      </c>
      <c r="P7" s="3" t="s">
        <v>446</v>
      </c>
    </row>
    <row r="8" spans="1:16" ht="15">
      <c r="A8" s="73" t="s">
        <v>74</v>
      </c>
      <c r="B8" s="74" t="s">
        <v>122</v>
      </c>
      <c r="C8" s="73"/>
      <c r="D8" s="147" t="s">
        <v>467</v>
      </c>
      <c r="E8" s="73"/>
      <c r="F8" s="73"/>
      <c r="G8" s="73"/>
      <c r="H8" s="73"/>
      <c r="I8" s="124" t="s">
        <v>417</v>
      </c>
      <c r="K8" s="204" t="str">
        <f>INDEX(M4:P7,MATCH(I8,L4:L7,0),MATCH(I3,M3:P3,0))</f>
        <v>aa/a</v>
      </c>
      <c r="L8" s="204"/>
      <c r="M8" s="204"/>
      <c r="N8" s="204"/>
      <c r="O8" s="204"/>
      <c r="P8" s="204"/>
    </row>
    <row r="9" spans="1:16" ht="15">
      <c r="A9" s="84" t="s">
        <v>75</v>
      </c>
      <c r="B9" s="50" t="str" cm="1">
        <f t="array" ref="B9">INDEX('FITCH DATA'!$AX$2:$AX$5,MATCH(LIQUIDITY!$C$9,'FITCH DATA'!$AV$2:$AV$5,1),)</f>
        <v>Strong</v>
      </c>
      <c r="C9" s="92">
        <f>C10/C11</f>
        <v>0.47659052624931225</v>
      </c>
      <c r="D9" s="84"/>
      <c r="E9" s="84"/>
      <c r="F9" s="84"/>
      <c r="G9" s="84"/>
      <c r="H9" s="84"/>
      <c r="K9" s="204"/>
      <c r="L9" s="204"/>
      <c r="M9" s="204"/>
      <c r="N9" s="204"/>
      <c r="O9" s="204"/>
      <c r="P9" s="204"/>
    </row>
    <row r="10" spans="1:16">
      <c r="A10" s="31" t="s">
        <v>76</v>
      </c>
      <c r="B10" s="31"/>
      <c r="C10" s="60">
        <f>'FITCH DATA'!B30+'FITCH DATA'!B31</f>
        <v>1154623000</v>
      </c>
      <c r="D10" s="3" t="b">
        <f>C10&lt;'FITCH DATA'!B26+'FITCH DATA'!B25+'FITCH DATA'!B17+'FITCH DATA'!B18</f>
        <v>1</v>
      </c>
      <c r="K10" s="98" t="str">
        <f>LEFT(K8,FIND("/",K8)-1)</f>
        <v>aa</v>
      </c>
      <c r="L10" s="131" t="str">
        <f>RIGHT(K8,LEN(K8)-FIND("/",K8))</f>
        <v>a</v>
      </c>
    </row>
    <row r="11" spans="1:16" ht="15">
      <c r="A11" s="31" t="s">
        <v>290</v>
      </c>
      <c r="B11" s="31"/>
      <c r="C11" s="60">
        <f>'FITCH DATA'!B25+'FITCH DATA'!B26+'FITCH DATA'!B17+'FITCH DATA'!B18</f>
        <v>2422673000</v>
      </c>
      <c r="D11" s="3" t="b">
        <f>C11='FITCH DATA'!B26+'FITCH DATA'!B25+'FITCH DATA'!B17+'FITCH DATA'!B18</f>
        <v>1</v>
      </c>
      <c r="K11" s="216" t="s">
        <v>440</v>
      </c>
      <c r="L11" s="216"/>
      <c r="M11" s="216"/>
      <c r="N11" s="216"/>
      <c r="O11" s="216"/>
      <c r="P11" s="216"/>
    </row>
    <row r="12" spans="1:16">
      <c r="A12" s="31"/>
      <c r="B12" s="31"/>
      <c r="C12" s="60"/>
    </row>
    <row r="13" spans="1:16" ht="15">
      <c r="A13" s="73" t="s">
        <v>85</v>
      </c>
      <c r="B13" s="73"/>
      <c r="C13" s="73"/>
      <c r="D13" s="73"/>
      <c r="E13" s="73"/>
      <c r="F13" s="73"/>
      <c r="G13" s="73"/>
      <c r="H13" s="73"/>
    </row>
    <row r="14" spans="1:16" ht="15">
      <c r="A14" s="84" t="s">
        <v>453</v>
      </c>
      <c r="B14" s="84"/>
      <c r="C14" s="84"/>
      <c r="D14" s="84"/>
      <c r="E14" s="84"/>
      <c r="F14" s="84"/>
      <c r="G14" s="84"/>
      <c r="H14" s="84"/>
      <c r="K14" s="217" t="s">
        <v>451</v>
      </c>
      <c r="L14" s="217"/>
      <c r="M14" s="217"/>
      <c r="N14" s="217"/>
      <c r="O14" s="217"/>
      <c r="P14" s="217"/>
    </row>
    <row r="15" spans="1:16" ht="15">
      <c r="A15" s="31" t="s">
        <v>80</v>
      </c>
      <c r="B15" s="50" t="s">
        <v>212</v>
      </c>
      <c r="C15" s="31"/>
    </row>
    <row r="16" spans="1:16" ht="15">
      <c r="A16" s="31" t="s">
        <v>81</v>
      </c>
      <c r="B16" s="50" t="s">
        <v>212</v>
      </c>
      <c r="C16" s="31"/>
      <c r="D16" s="65"/>
      <c r="K16" s="205"/>
      <c r="L16" s="205"/>
      <c r="M16" s="205"/>
    </row>
    <row r="17" spans="1:13" ht="15">
      <c r="A17" s="31" t="s">
        <v>82</v>
      </c>
      <c r="B17" s="50" t="s">
        <v>212</v>
      </c>
      <c r="C17" s="31"/>
      <c r="D17" s="65"/>
      <c r="M17"/>
    </row>
    <row r="18" spans="1:13" ht="15">
      <c r="A18" s="31" t="s">
        <v>83</v>
      </c>
      <c r="B18" s="50" t="s">
        <v>315</v>
      </c>
      <c r="D18" s="65"/>
    </row>
    <row r="19" spans="1:13" ht="15">
      <c r="A19" s="84" t="s">
        <v>84</v>
      </c>
      <c r="B19" s="50" t="s">
        <v>212</v>
      </c>
      <c r="C19" s="84"/>
      <c r="D19" s="84"/>
      <c r="E19" s="84"/>
      <c r="F19" s="84"/>
      <c r="G19" s="84"/>
      <c r="H19" s="84"/>
    </row>
    <row r="20" spans="1:13">
      <c r="D20" s="65"/>
    </row>
    <row r="21" spans="1:13">
      <c r="D21" s="65"/>
    </row>
    <row r="22" spans="1:13">
      <c r="D22" s="65"/>
    </row>
    <row r="24" spans="1:13">
      <c r="D24" s="65"/>
    </row>
    <row r="25" spans="1:13">
      <c r="D25" s="65"/>
    </row>
    <row r="26" spans="1:13">
      <c r="D26" s="65"/>
    </row>
    <row r="27" spans="1:13">
      <c r="D27" s="65"/>
    </row>
    <row r="28" spans="1:13">
      <c r="D28" s="65"/>
    </row>
    <row r="29" spans="1:13">
      <c r="D29" s="65"/>
    </row>
    <row r="30" spans="1:13">
      <c r="D30" s="65"/>
    </row>
    <row r="31" spans="1:13">
      <c r="D31" s="65"/>
    </row>
    <row r="32" spans="1:13">
      <c r="D32" s="65"/>
    </row>
    <row r="33" spans="4:4">
      <c r="D33" s="65"/>
    </row>
    <row r="34" spans="4:4">
      <c r="D34" s="65"/>
    </row>
    <row r="35" spans="4:4">
      <c r="D35" s="65"/>
    </row>
    <row r="36" spans="4:4">
      <c r="D36" s="65"/>
    </row>
    <row r="37" spans="4:4">
      <c r="D37" s="65"/>
    </row>
    <row r="38" spans="4:4">
      <c r="D38" s="65"/>
    </row>
    <row r="39" spans="4:4">
      <c r="D39" s="65"/>
    </row>
    <row r="40" spans="4:4">
      <c r="D40" s="65"/>
    </row>
    <row r="41" spans="4:4">
      <c r="D41" s="65"/>
    </row>
    <row r="42" spans="4:4">
      <c r="D42" s="65"/>
    </row>
    <row r="43" spans="4:4">
      <c r="D43" s="65"/>
    </row>
    <row r="44" spans="4:4">
      <c r="D44" s="65"/>
    </row>
    <row r="45" spans="4:4">
      <c r="D45" s="65"/>
    </row>
  </sheetData>
  <mergeCells count="8">
    <mergeCell ref="K16:M16"/>
    <mergeCell ref="A1:H1"/>
    <mergeCell ref="K2:L3"/>
    <mergeCell ref="M2:P2"/>
    <mergeCell ref="K4:K7"/>
    <mergeCell ref="K8:P9"/>
    <mergeCell ref="K11:P11"/>
    <mergeCell ref="K14:P14"/>
  </mergeCells>
  <conditionalFormatting sqref="D5">
    <cfRule type="cellIs" dxfId="8" priority="3" operator="equal">
      <formula>TRUE</formula>
    </cfRule>
  </conditionalFormatting>
  <conditionalFormatting sqref="D11">
    <cfRule type="cellIs" dxfId="7" priority="2" operator="equal">
      <formula>TRUE</formula>
    </cfRule>
  </conditionalFormatting>
  <conditionalFormatting sqref="D10">
    <cfRule type="cellIs" dxfId="6" priority="1" operator="equal">
      <formula>TRUE</formula>
    </cfRule>
  </conditionalFormatting>
  <dataValidations count="3">
    <dataValidation type="list" allowBlank="1" showInputMessage="1" showErrorMessage="1" sqref="I3" xr:uid="{E19596B1-FB05-4672-86B0-83EF6D57555D}">
      <formula1>$M$3:$P$3</formula1>
    </dataValidation>
    <dataValidation type="list" allowBlank="1" showInputMessage="1" showErrorMessage="1" sqref="I8" xr:uid="{E262CB22-6635-43BE-870D-6651943CDC9D}">
      <formula1>$L$4:$L$7</formula1>
    </dataValidation>
    <dataValidation type="list" allowBlank="1" showInputMessage="1" showErrorMessage="1" sqref="K11" xr:uid="{5132714E-56EF-4775-8665-5F838A786C81}">
      <formula1>$K$10:$L$10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87F4F-F9C4-4A09-9FCC-72586CD9228A}">
  <sheetPr>
    <tabColor theme="5" tint="0.79998168889431442"/>
  </sheetPr>
  <dimension ref="A1:P16"/>
  <sheetViews>
    <sheetView showGridLines="0" zoomScale="60" zoomScaleNormal="60" workbookViewId="0">
      <selection sqref="A1:H1"/>
    </sheetView>
  </sheetViews>
  <sheetFormatPr baseColWidth="10" defaultColWidth="11.5" defaultRowHeight="14.25"/>
  <cols>
    <col min="1" max="1" width="85.375" style="3" bestFit="1" customWidth="1"/>
    <col min="2" max="2" width="18.5" style="3" customWidth="1"/>
    <col min="3" max="3" width="22.5" style="3" customWidth="1"/>
    <col min="4" max="4" width="13.5" style="3" bestFit="1" customWidth="1"/>
    <col min="5" max="8" width="11.5" style="3"/>
    <col min="9" max="9" width="13.125" style="3" bestFit="1" customWidth="1"/>
    <col min="10" max="11" width="11.5" style="3"/>
    <col min="12" max="12" width="13.625" style="3" bestFit="1" customWidth="1"/>
    <col min="13" max="13" width="12.875" style="3" customWidth="1"/>
    <col min="14" max="14" width="13.625" style="3" bestFit="1" customWidth="1"/>
    <col min="15" max="16384" width="11.5" style="3"/>
  </cols>
  <sheetData>
    <row r="1" spans="1:16" ht="15.75" thickBot="1">
      <c r="A1" s="206" t="s">
        <v>182</v>
      </c>
      <c r="B1" s="207"/>
      <c r="C1" s="207"/>
      <c r="D1" s="207"/>
      <c r="E1" s="207"/>
      <c r="F1" s="207"/>
      <c r="G1" s="207"/>
      <c r="H1" s="207"/>
    </row>
    <row r="2" spans="1:16" s="26" customFormat="1" ht="18" customHeight="1" thickBot="1">
      <c r="A2" s="37" t="s">
        <v>346</v>
      </c>
      <c r="B2" s="38" t="s">
        <v>122</v>
      </c>
      <c r="C2" s="38"/>
      <c r="D2" s="38"/>
      <c r="E2" s="38"/>
      <c r="F2" s="38"/>
      <c r="G2" s="37"/>
      <c r="H2" s="37"/>
      <c r="K2" s="223" t="s">
        <v>429</v>
      </c>
      <c r="L2" s="213"/>
      <c r="M2" s="226" t="s">
        <v>430</v>
      </c>
      <c r="N2" s="227"/>
      <c r="O2" s="211"/>
      <c r="P2"/>
    </row>
    <row r="3" spans="1:16" ht="15">
      <c r="A3" s="83"/>
      <c r="B3" s="83"/>
      <c r="C3" s="83"/>
      <c r="D3" s="147" t="s">
        <v>467</v>
      </c>
      <c r="E3" s="83"/>
      <c r="F3" s="83"/>
      <c r="G3" s="83"/>
      <c r="H3" s="83"/>
      <c r="K3" s="214"/>
      <c r="L3" s="215"/>
      <c r="M3" s="125" t="s">
        <v>248</v>
      </c>
      <c r="N3" s="125" t="s">
        <v>247</v>
      </c>
      <c r="O3" s="125" t="s">
        <v>246</v>
      </c>
      <c r="P3"/>
    </row>
    <row r="4" spans="1:16" ht="14.45" customHeight="1">
      <c r="A4" s="84" t="s">
        <v>86</v>
      </c>
      <c r="B4" s="84"/>
      <c r="C4" s="84"/>
      <c r="D4" s="84"/>
      <c r="E4" s="84"/>
      <c r="F4" s="84"/>
      <c r="G4" s="84"/>
      <c r="H4" s="84"/>
      <c r="I4" s="124" t="s">
        <v>247</v>
      </c>
      <c r="K4" s="224" t="s">
        <v>431</v>
      </c>
      <c r="L4" s="123" t="s">
        <v>248</v>
      </c>
      <c r="M4" s="80" t="s">
        <v>432</v>
      </c>
      <c r="N4" s="80" t="s">
        <v>433</v>
      </c>
      <c r="O4" s="80" t="s">
        <v>434</v>
      </c>
      <c r="P4"/>
    </row>
    <row r="5" spans="1:16" ht="15">
      <c r="A5" s="31" t="s">
        <v>184</v>
      </c>
      <c r="B5" s="50" t="str" cm="1">
        <f t="array" ref="B5">INDEX('FITCH DATA'!$BB$2:$BB$4,MATCH('BUSINESS ENVIRONMENT'!$C$5,'FITCH DATA'!$AZ$2:$AZ$4,-1),)</f>
        <v>High Risk</v>
      </c>
      <c r="C5" s="95">
        <f>'FITCH DATA'!B10+'FITCH DATA'!B12+'FITCH DATA'!B11+'FITCH DATA'!B23+'FITCH DATA'!B24</f>
        <v>2780928000</v>
      </c>
      <c r="D5" s="3" t="b">
        <f>C5='FITCH DATA'!B10+'FITCH DATA'!B12+'FITCH DATA'!B15+'FITCH DATA'!B11</f>
        <v>1</v>
      </c>
      <c r="K5" s="225"/>
      <c r="L5" s="123" t="s">
        <v>247</v>
      </c>
      <c r="M5" s="80" t="s">
        <v>433</v>
      </c>
      <c r="N5" s="80" t="s">
        <v>434</v>
      </c>
      <c r="O5" s="80" t="s">
        <v>435</v>
      </c>
      <c r="P5"/>
    </row>
    <row r="6" spans="1:16" ht="15">
      <c r="A6" s="31" t="s">
        <v>185</v>
      </c>
      <c r="B6" s="50" t="str" cm="1">
        <f t="array" ref="B6">INDEX('FITCH DATA'!$BF$2:$BF$4,MATCH('BUSINESS ENVIRONMENT'!$C$6,'FITCH DATA'!$BD$2:$BD$4,0),)</f>
        <v>Medium Risk</v>
      </c>
      <c r="C6" s="94" t="s">
        <v>291</v>
      </c>
      <c r="K6" s="218"/>
      <c r="L6" s="123" t="s">
        <v>246</v>
      </c>
      <c r="M6" s="80" t="s">
        <v>434</v>
      </c>
      <c r="N6" s="80" t="s">
        <v>435</v>
      </c>
      <c r="O6" s="80" t="s">
        <v>436</v>
      </c>
      <c r="P6"/>
    </row>
    <row r="7" spans="1:16" ht="15">
      <c r="A7" s="3" t="s">
        <v>186</v>
      </c>
      <c r="B7" s="50" t="str" cm="1">
        <f t="array" ref="B7">INDEX('FITCH DATA'!$BJ$2:$BJ$4,MATCH('BUSINESS ENVIRONMENT'!$C$7,'FITCH DATA'!$BH$2:$BH$4,0),)</f>
        <v>Medium Risk</v>
      </c>
      <c r="C7" s="94" t="s">
        <v>276</v>
      </c>
      <c r="K7" s="219" t="str">
        <f>INDEX(M4:O6,MATCH(I4,L4:L6,0),MATCH(I11,M3:O3,0))</f>
        <v>-2 to -1</v>
      </c>
      <c r="L7" s="220"/>
      <c r="M7" s="220"/>
      <c r="N7" s="220"/>
      <c r="O7" s="221"/>
      <c r="P7"/>
    </row>
    <row r="8" spans="1:16" ht="15">
      <c r="A8" s="3" t="s">
        <v>187</v>
      </c>
      <c r="B8" s="50" t="s">
        <v>194</v>
      </c>
      <c r="C8" s="96">
        <f>SUM('FITCH DATA'!O46:O71,'FITCH DATA'!B23,'FITCH DATA'!B24,'FITCH DATA'!B12+'FITCH DATA'!B9)/C5</f>
        <v>0.36811884378164411</v>
      </c>
      <c r="D8" s="222" t="b">
        <f>100%=SUM(C8:C9)</f>
        <v>1</v>
      </c>
      <c r="K8" s="98" t="str">
        <f>LEFT(K7,2)</f>
        <v>-2</v>
      </c>
      <c r="L8" s="131" t="str">
        <f>RIGHT(K7,2)</f>
        <v>-1</v>
      </c>
      <c r="M8"/>
      <c r="N8"/>
      <c r="O8"/>
      <c r="P8"/>
    </row>
    <row r="9" spans="1:16" ht="15">
      <c r="A9" s="3" t="s">
        <v>188</v>
      </c>
      <c r="B9" s="50" t="s">
        <v>194</v>
      </c>
      <c r="C9" s="96">
        <f>SUM('FITCH DATA'!O2:O45)/C5</f>
        <v>0.63188115621835583</v>
      </c>
      <c r="D9" s="222"/>
      <c r="K9" s="219" t="s">
        <v>447</v>
      </c>
      <c r="L9" s="220"/>
      <c r="M9" s="220"/>
      <c r="N9" s="220"/>
      <c r="O9" s="221"/>
      <c r="P9"/>
    </row>
    <row r="10" spans="1:16">
      <c r="B10" s="93"/>
      <c r="C10" s="93"/>
    </row>
    <row r="11" spans="1:16" ht="15">
      <c r="A11" s="84" t="s">
        <v>87</v>
      </c>
      <c r="B11" s="84"/>
      <c r="C11" s="84"/>
      <c r="D11" s="84"/>
      <c r="E11" s="84"/>
      <c r="F11" s="84"/>
      <c r="G11" s="84"/>
      <c r="H11" s="84"/>
      <c r="I11" s="124" t="s">
        <v>248</v>
      </c>
    </row>
    <row r="12" spans="1:16" ht="15">
      <c r="A12" s="3" t="s">
        <v>189</v>
      </c>
      <c r="B12" s="50" t="str" cm="1">
        <f t="array" ref="B12">INDEX('FITCH DATA'!$BN$2:$BN$10,MATCH('BUSINESS ENVIRONMENT'!$C$12,'FITCH DATA'!$BL$2:$BL$10,0),)</f>
        <v>High Risk</v>
      </c>
      <c r="C12" s="94" t="str" cm="1">
        <f t="array" ref="C12">INDEX('FITCH DATA'!BL2:BL10,MATCH(ROUNDUP(AVERAGE('FITCH DATA'!R2:R71),0),'FITCH DATA'!BM2:BM11,0),)</f>
        <v>CC</v>
      </c>
      <c r="D12" s="3" t="b" cm="1">
        <f t="array" ref="D12">C12=INDEX('FITCH DATA'!BL2:BL10,MATCH(ROUNDUP(AVERAGE('FITCH DATA'!R2:R71),0),'FITCH DATA'!BM2:BM11,0),)</f>
        <v>1</v>
      </c>
      <c r="K12" s="217" t="s">
        <v>451</v>
      </c>
      <c r="L12" s="217"/>
      <c r="M12" s="217"/>
      <c r="N12" s="217"/>
      <c r="O12" s="217"/>
      <c r="P12" s="217"/>
    </row>
    <row r="13" spans="1:16" ht="15">
      <c r="A13" s="3" t="s">
        <v>190</v>
      </c>
      <c r="B13" s="50" t="str" cm="1">
        <f t="array" ref="B13">INDEX('FITCH DATA'!$BR$2:$BR$4,MATCH('BUSINESS ENVIRONMENT'!$C$13,'FITCH DATA'!$BP$2:$BP$4,0),)</f>
        <v>Medium Risk</v>
      </c>
      <c r="C13" s="94" t="s">
        <v>259</v>
      </c>
    </row>
    <row r="14" spans="1:16" ht="15">
      <c r="A14" s="3" t="s">
        <v>191</v>
      </c>
      <c r="B14" s="50" t="str">
        <f>C14</f>
        <v>Medium Risk</v>
      </c>
      <c r="C14" s="94" t="s">
        <v>247</v>
      </c>
    </row>
    <row r="15" spans="1:16" ht="15">
      <c r="A15" s="3" t="s">
        <v>192</v>
      </c>
      <c r="B15" s="50" t="str">
        <f>C15</f>
        <v>Medium Risk</v>
      </c>
      <c r="C15" s="94" t="s">
        <v>247</v>
      </c>
    </row>
    <row r="16" spans="1:16" ht="15">
      <c r="A16" s="3" t="s">
        <v>193</v>
      </c>
      <c r="B16" s="50" t="str" cm="1">
        <f t="array" ref="B16">INDEX('FITCH DATA'!$BV$2:$BV$4,MATCH('BUSINESS ENVIRONMENT'!$C$16,'FITCH DATA'!$BT$2:$BT$4,0),)</f>
        <v>High Risk</v>
      </c>
      <c r="C16" s="94" t="s">
        <v>265</v>
      </c>
    </row>
  </sheetData>
  <mergeCells count="8">
    <mergeCell ref="K9:O9"/>
    <mergeCell ref="K12:P12"/>
    <mergeCell ref="D8:D9"/>
    <mergeCell ref="K7:O7"/>
    <mergeCell ref="A1:H1"/>
    <mergeCell ref="K2:L3"/>
    <mergeCell ref="K4:K6"/>
    <mergeCell ref="M2:O2"/>
  </mergeCells>
  <phoneticPr fontId="34" type="noConversion"/>
  <conditionalFormatting sqref="D8:D9">
    <cfRule type="cellIs" dxfId="5" priority="3" operator="equal">
      <formula>TRUE</formula>
    </cfRule>
  </conditionalFormatting>
  <conditionalFormatting sqref="D5">
    <cfRule type="cellIs" dxfId="4" priority="2" operator="equal">
      <formula>TRUE</formula>
    </cfRule>
  </conditionalFormatting>
  <conditionalFormatting sqref="D12">
    <cfRule type="cellIs" dxfId="3" priority="1" operator="equal">
      <formula>TRUE</formula>
    </cfRule>
  </conditionalFormatting>
  <dataValidations count="8">
    <dataValidation type="list" allowBlank="1" showInputMessage="1" showErrorMessage="1" sqref="C6" xr:uid="{0BE21C7F-333D-45AF-AE43-4E5275C1C658}">
      <formula1>"Opaque,Complex,Very Transparent"</formula1>
    </dataValidation>
    <dataValidation type="list" allowBlank="1" showInputMessage="1" showErrorMessage="1" sqref="C7" xr:uid="{4F3D5DAC-E946-42A2-B545-3EEAE97489DC}">
      <formula1>"Rapid Growth,Moderate Growth,Slow Growth"</formula1>
    </dataValidation>
    <dataValidation type="list" allowBlank="1" showInputMessage="1" showErrorMessage="1" sqref="C13" xr:uid="{A7929A39-DF6C-4152-B050-DFA9489BA1F8}">
      <formula1>"Low Income,Middle Income,High Income"</formula1>
    </dataValidation>
    <dataValidation type="list" allowBlank="1" showInputMessage="1" showErrorMessage="1" sqref="C14:C15" xr:uid="{C0E1ABB3-0281-4EB8-AD7E-A139AB670A56}">
      <formula1>"High Risk,Medium Risk,Low Risk"</formula1>
    </dataValidation>
    <dataValidation type="list" allowBlank="1" showInputMessage="1" showErrorMessage="1" sqref="C16" xr:uid="{BFCC5DAA-420B-4620-80D8-AE4E551B6717}">
      <formula1>"Strong,Moderate,Low or Limited"</formula1>
    </dataValidation>
    <dataValidation type="list" allowBlank="1" showInputMessage="1" showErrorMessage="1" sqref="I11" xr:uid="{31022996-F0E2-46D2-AA1F-FBDA1968ED73}">
      <formula1>$M$3:$P$3</formula1>
    </dataValidation>
    <dataValidation type="list" allowBlank="1" showInputMessage="1" showErrorMessage="1" sqref="I4" xr:uid="{A85891A9-9438-404B-9B29-7363B5925B21}">
      <formula1>$L$4:$L$6</formula1>
    </dataValidation>
    <dataValidation type="list" allowBlank="1" showInputMessage="1" showErrorMessage="1" sqref="K9:O9" xr:uid="{924FAE07-E541-4335-8F04-63ECD5A77715}">
      <formula1>$K$8:$L$8</formula1>
    </dataValidation>
  </dataValidations>
  <pageMargins left="0.7" right="0.7" top="0.75" bottom="0.75" header="0.3" footer="0.3"/>
  <ignoredErrors>
    <ignoredError sqref="C8:C9" formulaRange="1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810CD-6B53-42B7-B1BB-79948330B698}">
  <sheetPr>
    <tabColor theme="5" tint="0.79998168889431442"/>
  </sheetPr>
  <dimension ref="A1:P16"/>
  <sheetViews>
    <sheetView showGridLines="0" zoomScale="60" zoomScaleNormal="60" workbookViewId="0">
      <selection sqref="A1:H1"/>
    </sheetView>
  </sheetViews>
  <sheetFormatPr baseColWidth="10" defaultColWidth="11.5" defaultRowHeight="14.25"/>
  <cols>
    <col min="1" max="1" width="80.75" style="3" bestFit="1" customWidth="1"/>
    <col min="2" max="2" width="14.75" style="3" bestFit="1" customWidth="1"/>
    <col min="3" max="3" width="15.625" style="3" bestFit="1" customWidth="1"/>
    <col min="4" max="16384" width="11.5" style="3"/>
  </cols>
  <sheetData>
    <row r="1" spans="1:16" ht="15.75" thickBot="1">
      <c r="A1" s="206" t="s">
        <v>182</v>
      </c>
      <c r="B1" s="207"/>
      <c r="C1" s="207"/>
      <c r="D1" s="207"/>
      <c r="E1" s="207"/>
      <c r="F1" s="207"/>
      <c r="G1" s="207"/>
      <c r="H1" s="207"/>
    </row>
    <row r="2" spans="1:16" s="26" customFormat="1" ht="18" customHeight="1" thickBot="1">
      <c r="A2" s="37" t="s">
        <v>346</v>
      </c>
      <c r="B2" s="38" t="s">
        <v>122</v>
      </c>
      <c r="C2" s="38"/>
      <c r="D2" s="38"/>
      <c r="E2" s="38"/>
      <c r="F2" s="38"/>
      <c r="G2" s="38"/>
      <c r="H2" s="38"/>
    </row>
    <row r="3" spans="1:16" ht="15">
      <c r="A3" s="83" t="s">
        <v>88</v>
      </c>
      <c r="B3" s="83"/>
      <c r="C3" s="83"/>
      <c r="D3" s="147" t="s">
        <v>467</v>
      </c>
      <c r="E3" s="83"/>
      <c r="F3" s="83"/>
      <c r="G3" s="83"/>
      <c r="H3" s="83"/>
      <c r="P3" s="147" t="s">
        <v>467</v>
      </c>
    </row>
    <row r="4" spans="1:16" ht="14.45" customHeight="1">
      <c r="A4" s="84" t="s">
        <v>89</v>
      </c>
      <c r="B4" s="84"/>
      <c r="C4" s="84"/>
      <c r="D4" s="84"/>
      <c r="E4" s="84"/>
      <c r="F4" s="84"/>
      <c r="G4" s="84"/>
      <c r="H4" s="84"/>
      <c r="I4" s="50" t="str" cm="1">
        <f t="array" ref="I4">IF(INDEX('FITCH DATA'!L2:L23,MATCH('SUPPORT CREDIT RATING'!B5,'FITCH DATA'!K2:K23,0),)&lt;INDEX('FITCH DATA'!L2:L23,MATCH('SUPPORT CREDIT RATING'!B6,'FITCH DATA'!K2:K23,0),),'SUPPORT CREDIT RATING'!B5,B6)</f>
        <v>BBB-</v>
      </c>
      <c r="L4" s="228" t="str" cm="1">
        <f t="array" ref="L4">INDEX('FITCH DATA'!K2:K23,MATCH(MAX((INDEX('FITCH DATA'!L2:L23,MATCH('SUPPORT CREDIT RATING'!I4,'FITCH DATA'!K2:K23,0),)-B9),INDEX('FITCH DATA'!L2:L23,MATCH('FITCH Summary'!B19,'FITCH DATA'!K2:K23,0),)-3),'FITCH DATA'!L2:L23,0),)</f>
        <v>BBB-</v>
      </c>
      <c r="M4" s="229"/>
      <c r="N4" s="229"/>
      <c r="O4" s="230"/>
      <c r="P4" s="222" t="b" cm="1">
        <f t="array" ref="P4">INDEX('FITCH DATA'!CC2:CC23,MATCH('SUPPORT CREDIT RATING'!L4,'FITCH DATA'!CB2:CB23,0),)&lt;=INDEX('FITCH DATA'!CC2:CC23,MATCH('FITCH Summary'!B19,'FITCH DATA'!CB2:CB23,0),)+3</f>
        <v>1</v>
      </c>
    </row>
    <row r="5" spans="1:16" ht="14.1" customHeight="1">
      <c r="A5" s="123" t="s">
        <v>90</v>
      </c>
      <c r="B5" s="50" t="str" cm="1">
        <f t="array" ref="B5">INDEX('FITCH DATA'!K2:K22,MATCH(ROUNDUP(SUMPRODUCT('FITCH DATA'!I2:I19,'FITCH DATA'!G2:G19)/'FITCH DATA'!G20,0),'FITCH DATA'!L2:L22,0),)</f>
        <v>BBB-</v>
      </c>
      <c r="L5" s="231"/>
      <c r="M5" s="216"/>
      <c r="N5" s="216"/>
      <c r="O5" s="232"/>
      <c r="P5" s="222"/>
    </row>
    <row r="6" spans="1:16" ht="14.1" customHeight="1">
      <c r="A6" s="123" t="s">
        <v>449</v>
      </c>
      <c r="B6" s="50" t="s">
        <v>212</v>
      </c>
      <c r="C6" s="123">
        <f>IFERROR(C7/C8,0)</f>
        <v>0</v>
      </c>
      <c r="L6" s="231"/>
      <c r="M6" s="216"/>
      <c r="N6" s="216"/>
      <c r="O6" s="232"/>
      <c r="P6" s="222"/>
    </row>
    <row r="7" spans="1:16" ht="14.1" customHeight="1">
      <c r="A7" s="31" t="s">
        <v>91</v>
      </c>
      <c r="C7" s="60">
        <f>'FITCH DATA'!B27-('FITCH DATA'!B30+'FITCH DATA'!B31)</f>
        <v>-1154623000</v>
      </c>
      <c r="D7" s="3" t="b">
        <f>C7='FITCH DATA'!B27-('FITCH DATA'!B30+'FITCH DATA'!B31)</f>
        <v>1</v>
      </c>
      <c r="L7" s="231"/>
      <c r="M7" s="216"/>
      <c r="N7" s="216"/>
      <c r="O7" s="232"/>
      <c r="P7" s="222"/>
    </row>
    <row r="8" spans="1:16" ht="14.1" customHeight="1">
      <c r="A8" s="31" t="s">
        <v>92</v>
      </c>
      <c r="C8" s="60">
        <f>'FITCH DATA'!B6</f>
        <v>0</v>
      </c>
      <c r="D8" s="3" t="b">
        <f>C8='FITCH DATA'!B6</f>
        <v>1</v>
      </c>
      <c r="L8" s="231"/>
      <c r="M8" s="216"/>
      <c r="N8" s="216"/>
      <c r="O8" s="232"/>
      <c r="P8" s="222"/>
    </row>
    <row r="9" spans="1:16" ht="15">
      <c r="A9" s="84" t="s">
        <v>93</v>
      </c>
      <c r="B9" s="127" cm="1">
        <f t="array" ref="B9">INDEX('FITCH DATA'!BZ2:BZ5,MATCH('SUPPORT CREDIT RATING'!I9,'FITCH DATA'!BX2:BX5,0),)</f>
        <v>0</v>
      </c>
      <c r="C9" s="84"/>
      <c r="D9" s="84"/>
      <c r="E9" s="84"/>
      <c r="F9" s="84"/>
      <c r="G9" s="84"/>
      <c r="H9" s="84"/>
      <c r="I9" s="128" t="s">
        <v>242</v>
      </c>
      <c r="L9" s="233"/>
      <c r="M9" s="234"/>
      <c r="N9" s="234"/>
      <c r="O9" s="235"/>
      <c r="P9" s="222"/>
    </row>
    <row r="10" spans="1:16">
      <c r="A10" s="3" t="s">
        <v>93</v>
      </c>
    </row>
    <row r="13" spans="1:16">
      <c r="L13"/>
    </row>
    <row r="14" spans="1:16">
      <c r="A14"/>
      <c r="B14"/>
      <c r="C14"/>
      <c r="D14"/>
      <c r="E14"/>
      <c r="F14"/>
      <c r="L14"/>
    </row>
    <row r="15" spans="1:16">
      <c r="A15"/>
      <c r="B15"/>
      <c r="C15"/>
      <c r="D15"/>
      <c r="E15"/>
      <c r="F15"/>
      <c r="L15"/>
    </row>
    <row r="16" spans="1:16">
      <c r="A16"/>
      <c r="B16"/>
      <c r="C16"/>
      <c r="D16"/>
      <c r="E16"/>
      <c r="F16"/>
      <c r="L16"/>
    </row>
  </sheetData>
  <mergeCells count="3">
    <mergeCell ref="A1:H1"/>
    <mergeCell ref="L4:O9"/>
    <mergeCell ref="P4:P9"/>
  </mergeCells>
  <conditionalFormatting sqref="P4">
    <cfRule type="cellIs" dxfId="2" priority="3" operator="equal">
      <formula>TRUE</formula>
    </cfRule>
  </conditionalFormatting>
  <conditionalFormatting sqref="D8">
    <cfRule type="cellIs" dxfId="1" priority="2" operator="equal">
      <formula>TRUE</formula>
    </cfRule>
  </conditionalFormatting>
  <conditionalFormatting sqref="D7">
    <cfRule type="cellIs" dxfId="0" priority="1" operator="equal">
      <formula>TRUE</formula>
    </cfRule>
  </conditionalFormatting>
  <dataValidations count="1">
    <dataValidation type="list" allowBlank="1" showInputMessage="1" showErrorMessage="1" sqref="I9" xr:uid="{60321180-3BF6-4B0F-A0A5-44B9C1DFC57D}">
      <formula1>"Very Strong,Strong,Weak,Very Weak"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44A026C-572F-492B-A490-14CC84A80869}">
          <x14:formula1>
            <xm:f>'FITCH DATA'!$K$2:$K$23</xm:f>
          </x14:formula1>
          <xm:sqref>B6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7EE7F55DEB4B4B89FB598482CC4405" ma:contentTypeVersion="9" ma:contentTypeDescription="Crée un document." ma:contentTypeScope="" ma:versionID="07f79e05dba21fadb32216557b769c3d">
  <xsd:schema xmlns:xsd="http://www.w3.org/2001/XMLSchema" xmlns:xs="http://www.w3.org/2001/XMLSchema" xmlns:p="http://schemas.microsoft.com/office/2006/metadata/properties" xmlns:ns2="5063788b-5ef8-47d7-ac81-b75d50b0bc1c" targetNamespace="http://schemas.microsoft.com/office/2006/metadata/properties" ma:root="true" ma:fieldsID="8668203dc708b59a12dc6d6c07662c0c" ns2:_="">
    <xsd:import namespace="5063788b-5ef8-47d7-ac81-b75d50b0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63788b-5ef8-47d7-ac81-b75d50b0bc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C7113C-AB03-4194-8E10-7D51D95316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63788b-5ef8-47d7-ac81-b75d50b0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18BA51-5312-4236-8CAF-FF1816A48FC2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5063788b-5ef8-47d7-ac81-b75d50b0bc1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588DADB-94FB-4FCA-9189-E4E6C7A954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Moody's Summary</vt:lpstr>
      <vt:lpstr>MOODY'S DATA</vt:lpstr>
      <vt:lpstr>CAPITAL ADEQUACY</vt:lpstr>
      <vt:lpstr>LIQUIDITY AND FUNDING</vt:lpstr>
      <vt:lpstr>PRELIMINARY INTRINSIC FINANCIAL</vt:lpstr>
      <vt:lpstr>MEMBER SUPPORT</vt:lpstr>
      <vt:lpstr>FITCH Summary</vt:lpstr>
      <vt:lpstr>FITCH DATA</vt:lpstr>
      <vt:lpstr>SOLVENCY</vt:lpstr>
      <vt:lpstr>LIQUIDITY</vt:lpstr>
      <vt:lpstr>BUSINESS ENVIRONMENT</vt:lpstr>
      <vt:lpstr>SUPPORT CREDIT 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Abed</dc:creator>
  <cp:lastModifiedBy>Said Abed</cp:lastModifiedBy>
  <cp:lastPrinted>2020-09-08T11:57:29Z</cp:lastPrinted>
  <dcterms:created xsi:type="dcterms:W3CDTF">2020-09-01T15:03:41Z</dcterms:created>
  <dcterms:modified xsi:type="dcterms:W3CDTF">2020-11-26T01:43:10Z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0x0101001B7EE7F55DEB4B4B89FB598482CC4405</vt:lpwstr>
  </property>
</Properties>
</file>