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Sheet1" sheetId="1" r:id="rId1"/>
  </sheets>
  <definedNames>
    <definedName name="Mod">Sheet1!$B$15</definedName>
  </definedNames>
  <calcPr calcId="152511"/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G40" i="1"/>
  <c r="F30" i="1"/>
  <c r="G15" i="1"/>
  <c r="F4" i="1"/>
  <c r="I7" i="1"/>
  <c r="I6" i="1"/>
  <c r="B41" i="1" l="1"/>
  <c r="B42" i="1"/>
  <c r="B43" i="1"/>
  <c r="B44" i="1"/>
  <c r="B45" i="1"/>
  <c r="B46" i="1"/>
  <c r="B47" i="1"/>
  <c r="B48" i="1"/>
  <c r="B49" i="1"/>
  <c r="B50" i="1"/>
  <c r="B51" i="1"/>
  <c r="E51" i="1" s="1"/>
  <c r="B52" i="1"/>
  <c r="E52" i="1" s="1"/>
  <c r="B40" i="1"/>
  <c r="E40" i="1" s="1"/>
  <c r="E42" i="1"/>
  <c r="E43" i="1"/>
  <c r="E44" i="1"/>
  <c r="E45" i="1"/>
  <c r="E46" i="1"/>
  <c r="E47" i="1"/>
  <c r="E48" i="1"/>
  <c r="E49" i="1"/>
  <c r="E50" i="1"/>
  <c r="E41" i="1"/>
  <c r="E18" i="1"/>
  <c r="E16" i="1"/>
  <c r="E15" i="1"/>
  <c r="D50" i="1"/>
  <c r="D52" i="1"/>
  <c r="D51" i="1"/>
  <c r="D48" i="1"/>
  <c r="D47" i="1"/>
  <c r="D44" i="1"/>
  <c r="D43" i="1"/>
  <c r="D40" i="1"/>
  <c r="D35" i="1"/>
  <c r="D34" i="1"/>
  <c r="D33" i="1"/>
  <c r="D32" i="1"/>
  <c r="D31" i="1"/>
  <c r="C33" i="1"/>
  <c r="E33" i="1" s="1"/>
  <c r="C32" i="1"/>
  <c r="E32" i="1" s="1"/>
  <c r="B16" i="1"/>
  <c r="B17" i="1"/>
  <c r="E17" i="1" s="1"/>
  <c r="B18" i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15" i="1"/>
  <c r="D25" i="1"/>
  <c r="D24" i="1"/>
  <c r="D23" i="1"/>
  <c r="D21" i="1"/>
  <c r="D20" i="1"/>
  <c r="D19" i="1"/>
  <c r="D17" i="1"/>
  <c r="D16" i="1"/>
  <c r="D15" i="1"/>
  <c r="C8" i="1"/>
  <c r="E8" i="1" s="1"/>
  <c r="C7" i="1"/>
  <c r="E7" i="1" s="1"/>
  <c r="C6" i="1"/>
  <c r="E6" i="1" s="1"/>
  <c r="F51" i="1" l="1"/>
  <c r="F43" i="1"/>
  <c r="F44" i="1"/>
  <c r="F52" i="1"/>
  <c r="F47" i="1"/>
  <c r="F50" i="1"/>
  <c r="F48" i="1"/>
  <c r="F40" i="1"/>
  <c r="F25" i="1"/>
  <c r="F24" i="1"/>
  <c r="F21" i="1"/>
  <c r="F20" i="1"/>
  <c r="F17" i="1"/>
  <c r="F19" i="1"/>
  <c r="F23" i="1"/>
  <c r="F16" i="1"/>
  <c r="F15" i="1"/>
  <c r="C5" i="1"/>
  <c r="E5" i="1" s="1"/>
  <c r="C9" i="1"/>
  <c r="E9" i="1" s="1"/>
  <c r="D18" i="1"/>
  <c r="F18" i="1" s="1"/>
  <c r="D22" i="1"/>
  <c r="F22" i="1" s="1"/>
  <c r="C30" i="1"/>
  <c r="C34" i="1"/>
  <c r="E34" i="1" s="1"/>
  <c r="D41" i="1"/>
  <c r="F41" i="1" s="1"/>
  <c r="D45" i="1"/>
  <c r="F45" i="1" s="1"/>
  <c r="D49" i="1"/>
  <c r="F49" i="1" s="1"/>
  <c r="C31" i="1"/>
  <c r="E31" i="1" s="1"/>
  <c r="C35" i="1"/>
  <c r="E35" i="1" s="1"/>
  <c r="D42" i="1"/>
  <c r="F42" i="1" s="1"/>
  <c r="D46" i="1"/>
  <c r="F46" i="1" s="1"/>
  <c r="D9" i="1"/>
  <c r="D8" i="1"/>
  <c r="D7" i="1"/>
  <c r="D6" i="1"/>
  <c r="D5" i="1"/>
  <c r="D4" i="1"/>
  <c r="I4" i="1"/>
  <c r="I3" i="1"/>
</calcChain>
</file>

<file path=xl/sharedStrings.xml><?xml version="1.0" encoding="utf-8"?>
<sst xmlns="http://schemas.openxmlformats.org/spreadsheetml/2006/main" count="35" uniqueCount="30">
  <si>
    <t xml:space="preserve">I(측정값) </t>
    <phoneticPr fontId="1" type="noConversion"/>
  </si>
  <si>
    <t>V(측정값)</t>
    <phoneticPr fontId="1" type="noConversion"/>
  </si>
  <si>
    <t>B(실험값)</t>
    <phoneticPr fontId="1" type="noConversion"/>
  </si>
  <si>
    <t xml:space="preserve">B(이론값) </t>
    <phoneticPr fontId="1" type="noConversion"/>
  </si>
  <si>
    <t>mu_0</t>
    <phoneticPr fontId="1" type="noConversion"/>
  </si>
  <si>
    <t>w</t>
    <phoneticPr fontId="1" type="noConversion"/>
  </si>
  <si>
    <t>N</t>
    <phoneticPr fontId="1" type="noConversion"/>
  </si>
  <si>
    <t>실험1)</t>
    <phoneticPr fontId="1" type="noConversion"/>
  </si>
  <si>
    <t>실험2)</t>
    <phoneticPr fontId="1" type="noConversion"/>
  </si>
  <si>
    <t>B(실험값)</t>
    <phoneticPr fontId="1" type="noConversion"/>
  </si>
  <si>
    <t>B(이론값)</t>
    <phoneticPr fontId="1" type="noConversion"/>
  </si>
  <si>
    <t>N*A*w</t>
    <phoneticPr fontId="1" type="noConversion"/>
  </si>
  <si>
    <t>오차</t>
    <phoneticPr fontId="1" type="noConversion"/>
  </si>
  <si>
    <t>오차</t>
    <phoneticPr fontId="1" type="noConversion"/>
  </si>
  <si>
    <t>실험3)</t>
    <phoneticPr fontId="1" type="noConversion"/>
  </si>
  <si>
    <t>실험4)</t>
    <phoneticPr fontId="1" type="noConversion"/>
  </si>
  <si>
    <t>B(이론값)</t>
    <phoneticPr fontId="1" type="noConversion"/>
  </si>
  <si>
    <t>B(측정값)</t>
    <phoneticPr fontId="1" type="noConversion"/>
  </si>
  <si>
    <t>오차</t>
    <phoneticPr fontId="1" type="noConversion"/>
  </si>
  <si>
    <t>R_out(m)</t>
    <phoneticPr fontId="1" type="noConversion"/>
  </si>
  <si>
    <t>V(측정값)(V)</t>
    <phoneticPr fontId="1" type="noConversion"/>
  </si>
  <si>
    <t>r(m)</t>
    <phoneticPr fontId="1" type="noConversion"/>
  </si>
  <si>
    <t xml:space="preserve">1/r(m^-1) </t>
    <phoneticPr fontId="1" type="noConversion"/>
  </si>
  <si>
    <t>f(Hz)</t>
    <phoneticPr fontId="1" type="noConversion"/>
  </si>
  <si>
    <t>z(m)</t>
    <phoneticPr fontId="1" type="noConversion"/>
  </si>
  <si>
    <t>I_ac(A)</t>
    <phoneticPr fontId="1" type="noConversion"/>
  </si>
  <si>
    <t>(R^2+z^2)^(-3/2)</t>
    <phoneticPr fontId="1" type="noConversion"/>
  </si>
  <si>
    <t>V(V)</t>
    <phoneticPr fontId="1" type="noConversion"/>
  </si>
  <si>
    <t>R_out(m)</t>
    <phoneticPr fontId="1" type="noConversion"/>
  </si>
  <si>
    <t>I_ac(A)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</si>
</sst>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전류</a:t>
            </a:r>
            <a:r>
              <a:rPr lang="en-US"/>
              <a:t>-</a:t>
            </a:r>
            <a:r>
              <a:rPr lang="ko-KR"/>
              <a:t>자기장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B_ac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Sheet1!$L$2:$L$7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Sheet1!$M$2:$M$7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9.7999999999999993E-6</c:v>
                </c:pt>
                <c:pt idx="2">
                  <c:v>1.5E-5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4.3999999999999999E-5</c:v>
                </c:pt>
              </c:numCache>
            </c:numRef>
          </c:val>
          <c:smooth val="0"/>
        </c:ser>
        <c:ser>
          <c:idx val="1"/>
          <c:order val="1"/>
          <c:tx>
            <c:v>B_ac이론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Sheet1!$L$2:$L$7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Sheet1!$N$2:$N$7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9.0909100000000003E-6</c:v>
                </c:pt>
                <c:pt idx="2">
                  <c:v>1.8181799999999999E-5</c:v>
                </c:pt>
                <c:pt idx="3">
                  <c:v>2.7272700000000001E-5</c:v>
                </c:pt>
                <c:pt idx="4">
                  <c:v>3.6363599999999999E-5</c:v>
                </c:pt>
                <c:pt idx="5">
                  <c:v>4.5454500000000003E-5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281488"/>
        <c:axId val="640282032"/>
      </c:lineChart>
      <c:catAx>
        <c:axId val="6402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282032"/>
        <c:crosses val="autoZero"/>
        <c:auto val="1"/>
        <c:lblAlgn val="ctr"/>
        <c:lblOffset val="100"/>
        <c:noMultiLvlLbl val="0"/>
      </c:catAx>
      <c:valAx>
        <c:axId val="6402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B(T)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2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r-</a:t>
            </a:r>
            <a:r>
              <a:rPr lang="ko-KR" altLang="en-US"/>
              <a:t>자기장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B_ac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Sheet1!$L$15:$L$25</c:f>
              <c:numCache>
                <c:formatCode>General</c:formatCode>
                <c:ptCount val="11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66</c:v>
                </c:pt>
              </c:numCache>
            </c:numRef>
          </c:xVal>
          <c:yVal>
            <c:numRef>
              <c:f>Sheet1!$M$15:$M$25</c:f>
              <c:numCache>
                <c:formatCode>0.00E+00</c:formatCode>
                <c:ptCount val="11"/>
                <c:pt idx="0">
                  <c:v>2.2631799999999999E-5</c:v>
                </c:pt>
                <c:pt idx="1">
                  <c:v>2.0885499999999998E-5</c:v>
                </c:pt>
                <c:pt idx="2">
                  <c:v>1.8510599999999999E-5</c:v>
                </c:pt>
                <c:pt idx="3">
                  <c:v>1.59261E-5</c:v>
                </c:pt>
                <c:pt idx="4">
                  <c:v>1.37607E-5</c:v>
                </c:pt>
                <c:pt idx="5">
                  <c:v>1.15255E-5</c:v>
                </c:pt>
                <c:pt idx="6">
                  <c:v>9.7791700000000008E-6</c:v>
                </c:pt>
                <c:pt idx="7">
                  <c:v>8.9409600000000002E-6</c:v>
                </c:pt>
                <c:pt idx="8">
                  <c:v>8.3123E-6</c:v>
                </c:pt>
                <c:pt idx="9">
                  <c:v>7.1946800000000002E-6</c:v>
                </c:pt>
                <c:pt idx="10">
                  <c:v>6.6358699999999999E-6</c:v>
                </c:pt>
              </c:numCache>
            </c:numRef>
          </c:yVal>
          <c:smooth val="0"/>
        </c:ser>
        <c:ser>
          <c:idx val="1"/>
          <c:order val="1"/>
          <c:tx>
            <c:v>B_ac이론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Sheet1!$L$15:$L$25</c:f>
              <c:numCache>
                <c:formatCode>General</c:formatCode>
                <c:ptCount val="11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66</c:v>
                </c:pt>
              </c:numCache>
            </c:numRef>
          </c:xVal>
          <c:yVal>
            <c:numRef>
              <c:f>Sheet1!$N$15:$N$25</c:f>
              <c:numCache>
                <c:formatCode>0.00E+00</c:formatCode>
                <c:ptCount val="11"/>
                <c:pt idx="0">
                  <c:v>2.5000000000000001E-5</c:v>
                </c:pt>
                <c:pt idx="1">
                  <c:v>1.90476E-5</c:v>
                </c:pt>
                <c:pt idx="2">
                  <c:v>1.5384599999999998E-5</c:v>
                </c:pt>
                <c:pt idx="3">
                  <c:v>1.29032E-5</c:v>
                </c:pt>
                <c:pt idx="4">
                  <c:v>1.1111099999999999E-5</c:v>
                </c:pt>
                <c:pt idx="5">
                  <c:v>9.7560999999999996E-6</c:v>
                </c:pt>
                <c:pt idx="6">
                  <c:v>8.6956500000000003E-6</c:v>
                </c:pt>
                <c:pt idx="7">
                  <c:v>7.8431400000000006E-6</c:v>
                </c:pt>
                <c:pt idx="8">
                  <c:v>7.1428600000000004E-6</c:v>
                </c:pt>
                <c:pt idx="9">
                  <c:v>6.5573800000000004E-6</c:v>
                </c:pt>
                <c:pt idx="10">
                  <c:v>6.0606099999999999E-6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89888"/>
        <c:axId val="650531520"/>
      </c:scatterChart>
      <c:valAx>
        <c:axId val="6470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r(mm)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531520"/>
        <c:crosses val="autoZero"/>
        <c:crossBetween val="midCat"/>
      </c:valAx>
      <c:valAx>
        <c:axId val="6505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B(T)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0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전류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B_ac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Sheet1!$I$29:$I$34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Sheet1!$J$29:$J$34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4.3000000000000003E-6</c:v>
                </c:pt>
                <c:pt idx="2">
                  <c:v>8.4999999999999999E-6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2.1999999999999999E-5</c:v>
                </c:pt>
              </c:numCache>
            </c:numRef>
          </c:val>
          <c:smooth val="0"/>
        </c:ser>
        <c:ser>
          <c:idx val="1"/>
          <c:order val="1"/>
          <c:tx>
            <c:v>B_ac이론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Sheet1!$I$29:$I$34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Sheet1!$K$29:$K$34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3.4888899999999999E-6</c:v>
                </c:pt>
                <c:pt idx="2">
                  <c:v>6.9777799999999998E-6</c:v>
                </c:pt>
                <c:pt idx="3">
                  <c:v>1.0466699999999999E-5</c:v>
                </c:pt>
                <c:pt idx="4">
                  <c:v>1.3955600000000001E-5</c:v>
                </c:pt>
                <c:pt idx="5">
                  <c:v>1.7444399999999999E-5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7087712"/>
        <c:axId val="647088800"/>
      </c:lineChart>
      <c:catAx>
        <c:axId val="6470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088800"/>
        <c:crosses val="autoZero"/>
        <c:auto val="1"/>
        <c:lblAlgn val="ctr"/>
        <c:lblOffset val="100"/>
        <c:noMultiLvlLbl val="0"/>
      </c:catAx>
      <c:valAx>
        <c:axId val="647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B(T)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0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(R^2+Z^2)^3/2-</a:t>
            </a:r>
            <a:r>
              <a:rPr lang="ko-KR" altLang="en-US"/>
              <a:t>자기장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B_ac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Sheet1!$I$39:$I$51</c:f>
              <c:numCache>
                <c:formatCode>0.00E+00</c:formatCode>
                <c:ptCount val="13"/>
                <c:pt idx="0">
                  <c:v>732375.38632801629</c:v>
                </c:pt>
                <c:pt idx="1">
                  <c:v>742539.33602132578</c:v>
                </c:pt>
                <c:pt idx="2">
                  <c:v>759584.05177324894</c:v>
                </c:pt>
                <c:pt idx="3">
                  <c:v>783662.21024089784</c:v>
                </c:pt>
                <c:pt idx="4">
                  <c:v>814982.64086974948</c:v>
                </c:pt>
                <c:pt idx="5">
                  <c:v>853817.84650062758</c:v>
                </c:pt>
                <c:pt idx="6">
                  <c:v>900479.05485718406</c:v>
                </c:pt>
                <c:pt idx="7">
                  <c:v>955337.95080009557</c:v>
                </c:pt>
                <c:pt idx="8">
                  <c:v>1018808.2185221371</c:v>
                </c:pt>
                <c:pt idx="9">
                  <c:v>1091337.2919774705</c:v>
                </c:pt>
                <c:pt idx="10">
                  <c:v>1173410.0587057052</c:v>
                </c:pt>
                <c:pt idx="11">
                  <c:v>1265548.8495528183</c:v>
                </c:pt>
                <c:pt idx="12">
                  <c:v>1368297.9058200552</c:v>
                </c:pt>
              </c:numCache>
            </c:numRef>
          </c:xVal>
          <c:yVal>
            <c:numRef>
              <c:f>Sheet1!$J$39:$J$51</c:f>
              <c:numCache>
                <c:formatCode>0.00E+00</c:formatCode>
                <c:ptCount val="13"/>
                <c:pt idx="0">
                  <c:v>1.66246E-5</c:v>
                </c:pt>
                <c:pt idx="1">
                  <c:v>1.6345200000000001E-5</c:v>
                </c:pt>
                <c:pt idx="2">
                  <c:v>1.5856199999999999E-5</c:v>
                </c:pt>
                <c:pt idx="3">
                  <c:v>1.5367300000000001E-5</c:v>
                </c:pt>
                <c:pt idx="4">
                  <c:v>1.47386E-5</c:v>
                </c:pt>
                <c:pt idx="5">
                  <c:v>1.3970200000000001E-5</c:v>
                </c:pt>
                <c:pt idx="6">
                  <c:v>1.32717E-5</c:v>
                </c:pt>
                <c:pt idx="7">
                  <c:v>1.25034E-5</c:v>
                </c:pt>
                <c:pt idx="8">
                  <c:v>1.16652E-5</c:v>
                </c:pt>
                <c:pt idx="9">
                  <c:v>1.08968E-5</c:v>
                </c:pt>
                <c:pt idx="10">
                  <c:v>1.0128399999999999E-5</c:v>
                </c:pt>
                <c:pt idx="11">
                  <c:v>9.36007E-6</c:v>
                </c:pt>
                <c:pt idx="12">
                  <c:v>8.7314000000000008E-6</c:v>
                </c:pt>
              </c:numCache>
            </c:numRef>
          </c:yVal>
          <c:smooth val="0"/>
        </c:ser>
        <c:ser>
          <c:idx val="1"/>
          <c:order val="1"/>
          <c:tx>
            <c:v>B_ac이론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Sheet1!$I$39:$I$51</c:f>
              <c:numCache>
                <c:formatCode>0.00E+00</c:formatCode>
                <c:ptCount val="13"/>
                <c:pt idx="0">
                  <c:v>732375.38632801629</c:v>
                </c:pt>
                <c:pt idx="1">
                  <c:v>742539.33602132578</c:v>
                </c:pt>
                <c:pt idx="2">
                  <c:v>759584.05177324894</c:v>
                </c:pt>
                <c:pt idx="3">
                  <c:v>783662.21024089784</c:v>
                </c:pt>
                <c:pt idx="4">
                  <c:v>814982.64086974948</c:v>
                </c:pt>
                <c:pt idx="5">
                  <c:v>853817.84650062758</c:v>
                </c:pt>
                <c:pt idx="6">
                  <c:v>900479.05485718406</c:v>
                </c:pt>
                <c:pt idx="7">
                  <c:v>955337.95080009557</c:v>
                </c:pt>
                <c:pt idx="8">
                  <c:v>1018808.2185221371</c:v>
                </c:pt>
                <c:pt idx="9">
                  <c:v>1091337.2919774705</c:v>
                </c:pt>
                <c:pt idx="10">
                  <c:v>1173410.0587057052</c:v>
                </c:pt>
                <c:pt idx="11">
                  <c:v>1265548.8495528183</c:v>
                </c:pt>
                <c:pt idx="12">
                  <c:v>1368297.9058200552</c:v>
                </c:pt>
              </c:numCache>
            </c:numRef>
          </c:xVal>
          <c:yVal>
            <c:numRef>
              <c:f>Sheet1!$K$39:$K$51</c:f>
              <c:numCache>
                <c:formatCode>0.00E+00</c:formatCode>
                <c:ptCount val="13"/>
                <c:pt idx="0">
                  <c:v>1.38912E-5</c:v>
                </c:pt>
                <c:pt idx="1">
                  <c:v>1.37011E-5</c:v>
                </c:pt>
                <c:pt idx="2">
                  <c:v>1.33936E-5</c:v>
                </c:pt>
                <c:pt idx="3">
                  <c:v>1.2982100000000001E-5</c:v>
                </c:pt>
                <c:pt idx="4">
                  <c:v>1.2483199999999999E-5</c:v>
                </c:pt>
                <c:pt idx="5">
                  <c:v>1.19155E-5</c:v>
                </c:pt>
                <c:pt idx="6">
                  <c:v>1.1297999999999999E-5</c:v>
                </c:pt>
                <c:pt idx="7">
                  <c:v>1.06492E-5</c:v>
                </c:pt>
                <c:pt idx="8">
                  <c:v>9.9857800000000005E-6</c:v>
                </c:pt>
                <c:pt idx="9">
                  <c:v>9.3221500000000002E-6</c:v>
                </c:pt>
                <c:pt idx="10">
                  <c:v>8.6701099999999992E-6</c:v>
                </c:pt>
                <c:pt idx="11">
                  <c:v>8.0388899999999995E-6</c:v>
                </c:pt>
                <c:pt idx="12">
                  <c:v>7.43523E-6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9664"/>
        <c:axId val="686283472"/>
      </c:scatterChart>
      <c:valAx>
        <c:axId val="6862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(R^2+Z^2)^(-3/2)(mm^-3)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283472"/>
        <c:crosses val="autoZero"/>
        <c:crossBetween val="midCat"/>
      </c:valAx>
      <c:valAx>
        <c:axId val="686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B(T)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2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192946</xdr:colOff>
      <xdr:row>0</xdr:row>
      <xdr:rowOff>75502</xdr:rowOff>
    </xdr:from>
    <xdr:to>
      <xdr:col>21</xdr:col>
      <xdr:colOff>67111</xdr:colOff>
      <xdr:row>12</xdr:row>
      <xdr:rowOff>184559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230697</xdr:colOff>
      <xdr:row>15</xdr:row>
      <xdr:rowOff>16777</xdr:rowOff>
    </xdr:from>
    <xdr:to>
      <xdr:col>21</xdr:col>
      <xdr:colOff>104862</xdr:colOff>
      <xdr:row>27</xdr:row>
      <xdr:rowOff>125833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197141</xdr:colOff>
      <xdr:row>27</xdr:row>
      <xdr:rowOff>159390</xdr:rowOff>
    </xdr:from>
    <xdr:to>
      <xdr:col>21</xdr:col>
      <xdr:colOff>71306</xdr:colOff>
      <xdr:row>40</xdr:row>
      <xdr:rowOff>50334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239085</xdr:colOff>
      <xdr:row>42</xdr:row>
      <xdr:rowOff>8389</xdr:rowOff>
    </xdr:from>
    <xdr:to>
      <xdr:col>22</xdr:col>
      <xdr:colOff>113250</xdr:colOff>
      <xdr:row>54</xdr:row>
      <xdr:rowOff>117446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K28" workbookViewId="0">
      <selection activeCell="I52" sqref="I52"/>
    </sheetView>
  </sheetViews>
  <sheetFormatPr defaultRowHeight="17.2" x14ac:dyDescent="0.35"/>
  <cols>
    <col min="2" max="2" width="13.109375" bestFit="1" customWidth="1"/>
    <col min="3" max="3" width="8.5546875" customWidth="1"/>
    <col min="4" max="5" width="13.109375" bestFit="1" customWidth="1"/>
    <col min="9" max="9" width="12.77734375" bestFit="1" customWidth="1"/>
  </cols>
  <sheetData>
    <row r="1" spans="1:14" x14ac:dyDescent="0.35">
      <c r="A1" t="s">
        <v>7</v>
      </c>
    </row>
    <row r="2" spans="1:14" x14ac:dyDescent="0.35">
      <c r="A2" t="s">
        <v>19</v>
      </c>
      <c r="B2">
        <v>1.0999999999999999E-2</v>
      </c>
      <c r="H2" t="s">
        <v>23</v>
      </c>
      <c r="I2">
        <v>100</v>
      </c>
      <c r="L2">
        <v>0</v>
      </c>
      <c r="M2" s="2">
        <v>0</v>
      </c>
      <c r="N2" s="2">
        <v>0</v>
      </c>
    </row>
    <row r="3" spans="1:14" x14ac:dyDescent="0.35">
      <c r="A3" t="s">
        <v>0</v>
      </c>
      <c r="B3" t="s">
        <v>20</v>
      </c>
      <c r="C3" t="s">
        <v>2</v>
      </c>
      <c r="D3" t="s">
        <v>3</v>
      </c>
      <c r="E3" t="s">
        <v>12</v>
      </c>
      <c r="H3" t="s">
        <v>4</v>
      </c>
      <c r="I3">
        <f>4*3.14*10^(-7)</f>
        <v>1.2559999999999999E-6</v>
      </c>
      <c r="L3">
        <v>0.5</v>
      </c>
      <c r="M3" s="3">
        <v>9.7999999999999993E-6</v>
      </c>
      <c r="N3" s="3">
        <v>9.0909100000000003E-6</v>
      </c>
    </row>
    <row r="4" spans="1:14" x14ac:dyDescent="0.35">
      <c r="A4">
        <v>0</v>
      </c>
      <c r="B4">
        <v>0</v>
      </c>
      <c r="C4">
        <v>0</v>
      </c>
      <c r="D4">
        <f>I3*A4/2*3.14*0.011</f>
        <v>0</v>
      </c>
      <c r="E4">
        <v>0</v>
      </c>
      <c r="F4">
        <f>SUM(E4:E9)/6</f>
        <v>10.031116666666666</v>
      </c>
      <c r="H4" t="s">
        <v>5</v>
      </c>
      <c r="I4">
        <f>2*3.14*100</f>
        <v>628</v>
      </c>
      <c r="L4">
        <v>1</v>
      </c>
      <c r="M4" s="3">
        <v>1.5E-5</v>
      </c>
      <c r="N4" s="3">
        <v>1.8181799999999999E-5</v>
      </c>
    </row>
    <row r="5" spans="1:14" x14ac:dyDescent="0.35">
      <c r="A5">
        <v>0.5</v>
      </c>
      <c r="B5">
        <v>1.4E-2</v>
      </c>
      <c r="C5">
        <f>B5/I6</f>
        <v>9.7791728652652395E-6</v>
      </c>
      <c r="D5">
        <f>I3*A5/(2*3.14*0.011)</f>
        <v>9.0909090909090893E-6</v>
      </c>
      <c r="E5">
        <f>ROUND(ABS(D5-C5)/C5*100,5)</f>
        <v>7.0380599999999998</v>
      </c>
      <c r="H5" t="s">
        <v>6</v>
      </c>
      <c r="I5">
        <v>6000</v>
      </c>
      <c r="L5">
        <v>1.5</v>
      </c>
      <c r="M5" s="3">
        <v>2.5000000000000001E-5</v>
      </c>
      <c r="N5" s="3">
        <v>2.7272700000000001E-5</v>
      </c>
    </row>
    <row r="6" spans="1:14" x14ac:dyDescent="0.35">
      <c r="A6">
        <v>1</v>
      </c>
      <c r="B6">
        <v>2.1100000000000001E-2</v>
      </c>
      <c r="C6">
        <f>B6/I6</f>
        <v>1.4738610532649756E-5</v>
      </c>
      <c r="D6">
        <f>I3*A6/(2*3.14*0.011)</f>
        <v>1.8181818181818179E-5</v>
      </c>
      <c r="E6">
        <f t="shared" ref="E6:E9" si="0">ROUND(ABS(D6-C6)/C6*100,5)</f>
        <v>23.361820000000002</v>
      </c>
      <c r="H6" t="s">
        <v>11</v>
      </c>
      <c r="I6">
        <f>6000*3.14*((0.006+0.016)^2/4)*I4</f>
        <v>1431.6139199999998</v>
      </c>
      <c r="L6">
        <v>2</v>
      </c>
      <c r="M6" s="3">
        <v>3.1999999999999999E-5</v>
      </c>
      <c r="N6" s="3">
        <v>3.6363599999999999E-5</v>
      </c>
    </row>
    <row r="7" spans="1:14" ht="17.850000000000001" thickBot="1" x14ac:dyDescent="0.4">
      <c r="A7">
        <v>1.5</v>
      </c>
      <c r="B7">
        <v>3.5200000000000002E-2</v>
      </c>
      <c r="C7">
        <f>B7/I6</f>
        <v>2.458763463266689E-5</v>
      </c>
      <c r="D7">
        <f>I3*A7/(2*3.14*0.011)</f>
        <v>2.727272727272727E-5</v>
      </c>
      <c r="E7">
        <f t="shared" si="0"/>
        <v>10.920500000000001</v>
      </c>
      <c r="I7">
        <f>3.14*((6+16)^2/4)</f>
        <v>379.94</v>
      </c>
      <c r="L7">
        <v>2.5</v>
      </c>
      <c r="M7" s="4">
        <v>4.3999999999999999E-5</v>
      </c>
      <c r="N7" s="4">
        <v>4.5454500000000003E-5</v>
      </c>
    </row>
    <row r="8" spans="1:14" ht="17.850000000000001" thickTop="1" x14ac:dyDescent="0.35">
      <c r="A8">
        <v>2</v>
      </c>
      <c r="B8">
        <v>4.5499999999999999E-2</v>
      </c>
      <c r="C8">
        <f>B8/I6</f>
        <v>3.1782311812112028E-5</v>
      </c>
      <c r="D8">
        <f>I3*A8/(2*3.14*0.011)</f>
        <v>3.6363636363636357E-5</v>
      </c>
      <c r="E8">
        <f t="shared" si="0"/>
        <v>14.4147</v>
      </c>
    </row>
    <row r="9" spans="1:14" x14ac:dyDescent="0.35">
      <c r="A9">
        <v>2.5</v>
      </c>
      <c r="B9">
        <v>6.2300000000000001E-2</v>
      </c>
      <c r="C9">
        <f>B9/I6</f>
        <v>4.3517319250430322E-5</v>
      </c>
      <c r="D9">
        <f>I3*A9/(2*3.14*0.011)</f>
        <v>4.5454545454545445E-5</v>
      </c>
      <c r="E9">
        <f t="shared" si="0"/>
        <v>4.4516200000000001</v>
      </c>
    </row>
    <row r="12" spans="1:14" x14ac:dyDescent="0.35">
      <c r="A12" t="s">
        <v>8</v>
      </c>
    </row>
    <row r="13" spans="1:14" x14ac:dyDescent="0.35">
      <c r="A13" t="s">
        <v>29</v>
      </c>
      <c r="B13">
        <v>2</v>
      </c>
    </row>
    <row r="14" spans="1:14" x14ac:dyDescent="0.35">
      <c r="A14" t="s">
        <v>21</v>
      </c>
      <c r="B14" t="s">
        <v>22</v>
      </c>
      <c r="C14" t="s">
        <v>20</v>
      </c>
      <c r="D14" t="s">
        <v>9</v>
      </c>
      <c r="E14" t="s">
        <v>10</v>
      </c>
      <c r="F14" t="s">
        <v>13</v>
      </c>
    </row>
    <row r="15" spans="1:14" x14ac:dyDescent="0.35">
      <c r="A15">
        <v>1.6E-2</v>
      </c>
      <c r="B15" s="1">
        <f>1/A15</f>
        <v>62.5</v>
      </c>
      <c r="C15">
        <v>3.2399999999999998E-2</v>
      </c>
      <c r="D15">
        <f>C15/I6</f>
        <v>2.2631800059613839E-5</v>
      </c>
      <c r="E15">
        <f>I3*2*B15/(2*3.14)</f>
        <v>2.4999999999999998E-5</v>
      </c>
      <c r="F15">
        <f>ROUND(ABS(E15-D15)/D15*100,5)</f>
        <v>10.464040000000001</v>
      </c>
      <c r="G15">
        <f>SUM(F15:F25)/11</f>
        <v>13.153861818181817</v>
      </c>
      <c r="L15" s="5">
        <v>16</v>
      </c>
      <c r="M15" s="3">
        <v>2.2631799999999999E-5</v>
      </c>
      <c r="N15" s="3">
        <v>2.5000000000000001E-5</v>
      </c>
    </row>
    <row r="16" spans="1:14" x14ac:dyDescent="0.35">
      <c r="A16">
        <v>2.1000000000000001E-2</v>
      </c>
      <c r="B16" s="1">
        <f t="shared" ref="B16:B25" si="1">1/A16</f>
        <v>47.619047619047613</v>
      </c>
      <c r="C16">
        <v>2.9899999999999999E-2</v>
      </c>
      <c r="D16">
        <f>C16/I6</f>
        <v>2.0885519190816476E-5</v>
      </c>
      <c r="E16">
        <f>I3*2*B16/(2*3.14)</f>
        <v>1.9047619047619043E-5</v>
      </c>
      <c r="F16">
        <f t="shared" ref="F16:F25" si="2">ROUND(ABS(E16-D16)/D16*100,5)</f>
        <v>8.7998799999999999</v>
      </c>
      <c r="L16" s="5">
        <v>21</v>
      </c>
      <c r="M16" s="3">
        <v>2.0885499999999998E-5</v>
      </c>
      <c r="N16" s="3">
        <v>1.90476E-5</v>
      </c>
    </row>
    <row r="17" spans="1:14" x14ac:dyDescent="0.35">
      <c r="A17">
        <v>2.5999999999999999E-2</v>
      </c>
      <c r="B17" s="1">
        <f t="shared" si="1"/>
        <v>38.46153846153846</v>
      </c>
      <c r="C17">
        <v>2.6499999999999999E-2</v>
      </c>
      <c r="D17">
        <f>C17/I6</f>
        <v>1.8510577209252062E-5</v>
      </c>
      <c r="E17">
        <f>I3*2*B17/(2*3.14)</f>
        <v>1.5384615384615384E-5</v>
      </c>
      <c r="F17">
        <f t="shared" si="2"/>
        <v>16.887440000000002</v>
      </c>
      <c r="L17" s="5">
        <v>26</v>
      </c>
      <c r="M17" s="3">
        <v>1.8510599999999999E-5</v>
      </c>
      <c r="N17" s="3">
        <v>1.5384599999999998E-5</v>
      </c>
    </row>
    <row r="18" spans="1:14" x14ac:dyDescent="0.35">
      <c r="A18">
        <v>3.1E-2</v>
      </c>
      <c r="B18" s="1">
        <f t="shared" si="1"/>
        <v>32.258064516129032</v>
      </c>
      <c r="C18">
        <v>2.2800000000000001E-2</v>
      </c>
      <c r="D18">
        <f>C18/I6</f>
        <v>1.5926081523431963E-5</v>
      </c>
      <c r="E18">
        <f>I3*2*B18/(2*3.14)</f>
        <v>1.2903225806451611E-5</v>
      </c>
      <c r="F18">
        <f t="shared" si="2"/>
        <v>18.980540000000001</v>
      </c>
      <c r="L18" s="5">
        <v>31</v>
      </c>
      <c r="M18" s="3">
        <v>1.59261E-5</v>
      </c>
      <c r="N18" s="3">
        <v>1.29032E-5</v>
      </c>
    </row>
    <row r="19" spans="1:14" x14ac:dyDescent="0.35">
      <c r="A19">
        <v>3.5999999999999997E-2</v>
      </c>
      <c r="B19" s="1">
        <f t="shared" si="1"/>
        <v>27.777777777777779</v>
      </c>
      <c r="C19">
        <v>1.9699999999999999E-2</v>
      </c>
      <c r="D19">
        <f>C19/I6</f>
        <v>1.376069324612323E-5</v>
      </c>
      <c r="E19">
        <f>I3*2*B19/(2*3.14)</f>
        <v>1.111111111111111E-5</v>
      </c>
      <c r="F19">
        <f t="shared" si="2"/>
        <v>19.254709999999999</v>
      </c>
      <c r="L19" s="5">
        <v>36</v>
      </c>
      <c r="M19" s="3">
        <v>1.37607E-5</v>
      </c>
      <c r="N19" s="3">
        <v>1.1111099999999999E-5</v>
      </c>
    </row>
    <row r="20" spans="1:14" x14ac:dyDescent="0.35">
      <c r="A20">
        <v>4.1000000000000002E-2</v>
      </c>
      <c r="B20" s="1">
        <f t="shared" si="1"/>
        <v>24.390243902439025</v>
      </c>
      <c r="C20">
        <v>1.6500000000000001E-2</v>
      </c>
      <c r="D20">
        <f>C20/I6</f>
        <v>1.1525453734062604E-5</v>
      </c>
      <c r="E20">
        <f>I3*2*B20/(2*3.14)</f>
        <v>9.7560975609756093E-6</v>
      </c>
      <c r="F20">
        <f t="shared" si="2"/>
        <v>15.35173</v>
      </c>
      <c r="L20" s="5">
        <v>41</v>
      </c>
      <c r="M20" s="3">
        <v>1.15255E-5</v>
      </c>
      <c r="N20" s="3">
        <v>9.7560999999999996E-6</v>
      </c>
    </row>
    <row r="21" spans="1:14" x14ac:dyDescent="0.35">
      <c r="A21">
        <v>4.5999999999999999E-2</v>
      </c>
      <c r="B21" s="1">
        <f t="shared" si="1"/>
        <v>21.739130434782609</v>
      </c>
      <c r="C21">
        <v>1.4E-2</v>
      </c>
      <c r="D21">
        <f>C21/I6</f>
        <v>9.7791728652652395E-6</v>
      </c>
      <c r="E21">
        <f>I3*2*B21/(2*3.14)</f>
        <v>8.6956521739130427E-6</v>
      </c>
      <c r="F21">
        <f t="shared" si="2"/>
        <v>11.079879999999999</v>
      </c>
      <c r="L21" s="5">
        <v>46</v>
      </c>
      <c r="M21" s="3">
        <v>9.7791700000000008E-6</v>
      </c>
      <c r="N21" s="3">
        <v>8.6956500000000003E-6</v>
      </c>
    </row>
    <row r="22" spans="1:14" x14ac:dyDescent="0.35">
      <c r="A22">
        <v>5.0999999999999997E-2</v>
      </c>
      <c r="B22" s="1">
        <f t="shared" si="1"/>
        <v>19.607843137254903</v>
      </c>
      <c r="C22">
        <v>1.2800000000000001E-2</v>
      </c>
      <c r="D22">
        <f>C22/I6</f>
        <v>8.9409580482425054E-6</v>
      </c>
      <c r="E22">
        <f>I3*2*B22/(2*3.14)</f>
        <v>7.8431372549019607E-6</v>
      </c>
      <c r="F22">
        <f t="shared" si="2"/>
        <v>12.278560000000001</v>
      </c>
      <c r="L22" s="5">
        <v>51</v>
      </c>
      <c r="M22" s="3">
        <v>8.9409600000000002E-6</v>
      </c>
      <c r="N22" s="3">
        <v>7.8431400000000006E-6</v>
      </c>
    </row>
    <row r="23" spans="1:14" x14ac:dyDescent="0.35">
      <c r="A23">
        <v>5.6000000000000001E-2</v>
      </c>
      <c r="B23" s="1">
        <f t="shared" si="1"/>
        <v>17.857142857142858</v>
      </c>
      <c r="C23">
        <v>1.1900000000000001E-2</v>
      </c>
      <c r="D23">
        <f>C23/I6</f>
        <v>8.3122969354754544E-6</v>
      </c>
      <c r="E23">
        <f>I3*2*B23/(2*3.14)</f>
        <v>7.1428571428571427E-6</v>
      </c>
      <c r="F23">
        <f t="shared" si="2"/>
        <v>14.06879</v>
      </c>
      <c r="L23" s="5">
        <v>56</v>
      </c>
      <c r="M23" s="3">
        <v>8.3123E-6</v>
      </c>
      <c r="N23" s="3">
        <v>7.1428600000000004E-6</v>
      </c>
    </row>
    <row r="24" spans="1:14" x14ac:dyDescent="0.35">
      <c r="A24">
        <v>6.0999999999999999E-2</v>
      </c>
      <c r="B24" s="1">
        <f t="shared" si="1"/>
        <v>16.393442622950818</v>
      </c>
      <c r="C24">
        <v>1.03E-2</v>
      </c>
      <c r="D24">
        <f>C24/I6</f>
        <v>7.1946771794451406E-6</v>
      </c>
      <c r="E24">
        <f>I3*2*B24/(2*3.14)</f>
        <v>6.5573770491803267E-6</v>
      </c>
      <c r="F24">
        <f t="shared" si="2"/>
        <v>8.8579399999999993</v>
      </c>
      <c r="L24" s="5">
        <v>61</v>
      </c>
      <c r="M24" s="3">
        <v>7.1946800000000002E-6</v>
      </c>
      <c r="N24" s="3">
        <v>6.5573800000000004E-6</v>
      </c>
    </row>
    <row r="25" spans="1:14" ht="17.850000000000001" thickBot="1" x14ac:dyDescent="0.4">
      <c r="A25">
        <v>6.6000000000000003E-2</v>
      </c>
      <c r="B25" s="1">
        <f t="shared" si="1"/>
        <v>15.15151515151515</v>
      </c>
      <c r="C25">
        <v>9.4999999999999998E-3</v>
      </c>
      <c r="D25">
        <f>C25/I6</f>
        <v>6.6358673014299846E-6</v>
      </c>
      <c r="E25">
        <f>I3*2*B25/(2*3.14)</f>
        <v>6.0606060606060601E-6</v>
      </c>
      <c r="F25">
        <f t="shared" si="2"/>
        <v>8.6689699999999998</v>
      </c>
      <c r="L25" s="6">
        <v>66</v>
      </c>
      <c r="M25" s="4">
        <v>6.6358699999999999E-6</v>
      </c>
      <c r="N25" s="4">
        <v>6.0606099999999999E-6</v>
      </c>
    </row>
    <row r="26" spans="1:14" ht="17.850000000000001" thickTop="1" x14ac:dyDescent="0.35"/>
    <row r="27" spans="1:14" x14ac:dyDescent="0.35">
      <c r="A27" t="s">
        <v>14</v>
      </c>
    </row>
    <row r="28" spans="1:14" x14ac:dyDescent="0.35">
      <c r="A28" t="s">
        <v>28</v>
      </c>
      <c r="B28">
        <v>0.09</v>
      </c>
    </row>
    <row r="29" spans="1:14" x14ac:dyDescent="0.35">
      <c r="A29" t="s">
        <v>0</v>
      </c>
      <c r="B29" t="s">
        <v>1</v>
      </c>
      <c r="C29" t="s">
        <v>2</v>
      </c>
      <c r="D29" t="s">
        <v>3</v>
      </c>
      <c r="E29" t="s">
        <v>12</v>
      </c>
      <c r="I29" s="5">
        <v>0</v>
      </c>
      <c r="J29" s="2">
        <v>0</v>
      </c>
      <c r="K29" s="2">
        <v>0</v>
      </c>
    </row>
    <row r="30" spans="1:14" x14ac:dyDescent="0.35">
      <c r="A30">
        <v>0</v>
      </c>
      <c r="B30">
        <v>0</v>
      </c>
      <c r="C30">
        <f>B30/I6</f>
        <v>0</v>
      </c>
      <c r="D30">
        <v>0</v>
      </c>
      <c r="E30">
        <v>0</v>
      </c>
      <c r="F30">
        <f>SUM(E30:E35)/6</f>
        <v>15.323455000000001</v>
      </c>
      <c r="I30" s="5">
        <v>0.5</v>
      </c>
      <c r="J30" s="3">
        <v>4.3000000000000003E-6</v>
      </c>
      <c r="K30" s="3">
        <v>3.4888899999999999E-6</v>
      </c>
    </row>
    <row r="31" spans="1:14" x14ac:dyDescent="0.35">
      <c r="A31">
        <v>0.5</v>
      </c>
      <c r="B31">
        <v>6.1000000000000004E-3</v>
      </c>
      <c r="C31">
        <f>B31/I6</f>
        <v>4.2609253198655688E-6</v>
      </c>
      <c r="D31">
        <f>I3*A31/(2*0.09)</f>
        <v>3.4888888888888888E-6</v>
      </c>
      <c r="E31">
        <f>ROUND(ABS(D31-C31)*100/C31,5)</f>
        <v>18.11899</v>
      </c>
      <c r="I31" s="5">
        <v>1</v>
      </c>
      <c r="J31" s="3">
        <v>8.4999999999999999E-6</v>
      </c>
      <c r="K31" s="3">
        <v>6.9777799999999998E-6</v>
      </c>
    </row>
    <row r="32" spans="1:14" x14ac:dyDescent="0.35">
      <c r="A32">
        <v>1</v>
      </c>
      <c r="B32">
        <v>1.2200000000000001E-2</v>
      </c>
      <c r="C32">
        <f>B32/I6</f>
        <v>8.5218506397311375E-6</v>
      </c>
      <c r="D32">
        <f>I3*A32/(2*0.09)</f>
        <v>6.9777777777777775E-6</v>
      </c>
      <c r="E32">
        <f t="shared" ref="E32:E35" si="3">ROUND(ABS(D32-C32)*100/C32,5)</f>
        <v>18.11899</v>
      </c>
      <c r="I32" s="5">
        <v>1.5</v>
      </c>
      <c r="J32" s="3">
        <v>1.2999999999999999E-5</v>
      </c>
      <c r="K32" s="3">
        <v>1.0466699999999999E-5</v>
      </c>
    </row>
    <row r="33" spans="1:11" x14ac:dyDescent="0.35">
      <c r="A33">
        <v>1.5</v>
      </c>
      <c r="B33">
        <v>1.8499999999999999E-2</v>
      </c>
      <c r="C33">
        <f>B33/I6</f>
        <v>1.2922478429100494E-5</v>
      </c>
      <c r="D33">
        <f>I3*A33/(2*0.09)</f>
        <v>1.0466666666666666E-5</v>
      </c>
      <c r="E33">
        <f t="shared" si="3"/>
        <v>19.004190000000001</v>
      </c>
      <c r="I33" s="5">
        <v>2</v>
      </c>
      <c r="J33" s="3">
        <v>1.7E-5</v>
      </c>
      <c r="K33" s="3">
        <v>1.3955600000000001E-5</v>
      </c>
    </row>
    <row r="34" spans="1:11" ht="17.850000000000001" thickBot="1" x14ac:dyDescent="0.4">
      <c r="A34">
        <v>2</v>
      </c>
      <c r="B34">
        <v>2.4299999999999999E-2</v>
      </c>
      <c r="C34">
        <f>B34/I6</f>
        <v>1.697385004471038E-5</v>
      </c>
      <c r="D34">
        <f>I3*A34/(2*0.09)</f>
        <v>1.3955555555555555E-5</v>
      </c>
      <c r="E34">
        <f t="shared" si="3"/>
        <v>17.782029999999999</v>
      </c>
      <c r="I34" s="6">
        <v>2.5</v>
      </c>
      <c r="J34" s="4">
        <v>2.1999999999999999E-5</v>
      </c>
      <c r="K34" s="4">
        <v>1.7444399999999999E-5</v>
      </c>
    </row>
    <row r="35" spans="1:11" ht="17.850000000000001" thickTop="1" x14ac:dyDescent="0.35">
      <c r="A35">
        <v>2.5</v>
      </c>
      <c r="B35">
        <v>3.0800000000000001E-2</v>
      </c>
      <c r="C35">
        <f>B35/I6</f>
        <v>2.151418030358353E-5</v>
      </c>
      <c r="D35">
        <f>I3*A35/(2*0.09)</f>
        <v>1.7444444444444444E-5</v>
      </c>
      <c r="E35">
        <f t="shared" si="3"/>
        <v>18.916530000000002</v>
      </c>
    </row>
    <row r="37" spans="1:11" x14ac:dyDescent="0.35">
      <c r="A37" t="s">
        <v>15</v>
      </c>
    </row>
    <row r="38" spans="1:11" x14ac:dyDescent="0.35">
      <c r="A38" t="s">
        <v>25</v>
      </c>
      <c r="B38">
        <v>2</v>
      </c>
    </row>
    <row r="39" spans="1:11" ht="29.1" x14ac:dyDescent="0.35">
      <c r="A39" t="s">
        <v>24</v>
      </c>
      <c r="B39" t="s">
        <v>26</v>
      </c>
      <c r="C39" t="s">
        <v>27</v>
      </c>
      <c r="D39" t="s">
        <v>17</v>
      </c>
      <c r="E39" t="s">
        <v>16</v>
      </c>
      <c r="F39" t="s">
        <v>18</v>
      </c>
      <c r="I39" s="3">
        <f>1/0.00000136542</f>
        <v>732375.38632801629</v>
      </c>
      <c r="J39" s="3">
        <v>1.66246E-5</v>
      </c>
      <c r="K39" s="3">
        <v>1.38912E-5</v>
      </c>
    </row>
    <row r="40" spans="1:11" x14ac:dyDescent="0.35">
      <c r="A40">
        <v>5.0000000000000001E-3</v>
      </c>
      <c r="B40">
        <f>1/(((0.09)^2+(A40)^2)^(1.5)*10^9)</f>
        <v>1.3654158676313347E-6</v>
      </c>
      <c r="C40">
        <v>2.3800000000000002E-2</v>
      </c>
      <c r="D40">
        <f>C40/I6</f>
        <v>1.6624593870950909E-5</v>
      </c>
      <c r="E40">
        <f>I3*B40*(0.09)^2*10^9</f>
        <v>1.3891194870934146E-5</v>
      </c>
      <c r="F40">
        <f>ROUND(ABS(E40-D40)/D40*100,5)</f>
        <v>16.4419</v>
      </c>
      <c r="G40">
        <f>SUM(F40:F52)/13</f>
        <v>15.045217692307691</v>
      </c>
      <c r="I40" s="3">
        <f>1/0.00000134673</f>
        <v>742539.33602132578</v>
      </c>
      <c r="J40" s="3">
        <v>1.6345200000000001E-5</v>
      </c>
      <c r="K40" s="3">
        <v>1.37011E-5</v>
      </c>
    </row>
    <row r="41" spans="1:11" x14ac:dyDescent="0.35">
      <c r="A41">
        <v>0.01</v>
      </c>
      <c r="B41">
        <f t="shared" ref="B41:B52" si="4">1/(((0.09)^2+(A41)^2)^(1.5)*10^9)</f>
        <v>1.3467259277420306E-6</v>
      </c>
      <c r="C41">
        <v>2.3400000000000001E-2</v>
      </c>
      <c r="D41">
        <f>C41/I6</f>
        <v>1.6345188931943329E-5</v>
      </c>
      <c r="E41">
        <f>I3*B41*(0.09)^2*10^9</f>
        <v>1.3701050898476321E-5</v>
      </c>
      <c r="F41">
        <f t="shared" ref="F41:F52" si="5">ROUND(ABS(E41-D41)/D41*100,5)</f>
        <v>16.176860000000001</v>
      </c>
      <c r="I41" s="3">
        <f>1/0.00000131651</f>
        <v>759584.05177324894</v>
      </c>
      <c r="J41" s="3">
        <v>1.5856199999999999E-5</v>
      </c>
      <c r="K41" s="3">
        <v>1.33936E-5</v>
      </c>
    </row>
    <row r="42" spans="1:11" x14ac:dyDescent="0.35">
      <c r="A42">
        <v>1.4999999999999999E-2</v>
      </c>
      <c r="B42">
        <f t="shared" si="4"/>
        <v>1.3165084068497075E-6</v>
      </c>
      <c r="C42">
        <v>2.2700000000000001E-2</v>
      </c>
      <c r="D42">
        <f>C42/I6</f>
        <v>1.5856230288680068E-5</v>
      </c>
      <c r="E42">
        <f>I3*B42*(0.09)^2*10^9</f>
        <v>1.3393629927926182E-5</v>
      </c>
      <c r="F42">
        <f t="shared" si="5"/>
        <v>15.530810000000001</v>
      </c>
      <c r="I42" s="3">
        <f>1/0.00000127606</f>
        <v>783662.21024089784</v>
      </c>
      <c r="J42" s="3">
        <v>1.5367300000000001E-5</v>
      </c>
      <c r="K42" s="3">
        <v>1.2982100000000001E-5</v>
      </c>
    </row>
    <row r="43" spans="1:11" x14ac:dyDescent="0.35">
      <c r="A43">
        <v>0.02</v>
      </c>
      <c r="B43">
        <f t="shared" si="4"/>
        <v>1.2760615165803305E-6</v>
      </c>
      <c r="C43">
        <v>2.1999999999999999E-2</v>
      </c>
      <c r="D43">
        <f>C43/I6</f>
        <v>1.5367271645416803E-5</v>
      </c>
      <c r="E43">
        <f>I3*B43*(0.09)^2*10^9</f>
        <v>1.2982139445081648E-5</v>
      </c>
      <c r="F43">
        <f t="shared" si="5"/>
        <v>15.520860000000001</v>
      </c>
      <c r="I43" s="3">
        <f>1/0.00000122702</f>
        <v>814982.64086974948</v>
      </c>
      <c r="J43" s="3">
        <v>1.47386E-5</v>
      </c>
      <c r="K43" s="3">
        <v>1.2483199999999999E-5</v>
      </c>
    </row>
    <row r="44" spans="1:11" x14ac:dyDescent="0.35">
      <c r="A44">
        <v>2.5000000000000001E-2</v>
      </c>
      <c r="B44">
        <f t="shared" si="4"/>
        <v>1.2270205789620384E-6</v>
      </c>
      <c r="C44">
        <v>2.1100000000000001E-2</v>
      </c>
      <c r="D44">
        <f>C44/I6</f>
        <v>1.4738610532649756E-5</v>
      </c>
      <c r="E44">
        <f>I3*B44*(0.09)^2*10^9</f>
        <v>1.2483216562128191E-5</v>
      </c>
      <c r="F44">
        <f t="shared" si="5"/>
        <v>15.302619999999999</v>
      </c>
      <c r="I44" s="3">
        <f>1/0.00000117121</f>
        <v>853817.84650062758</v>
      </c>
      <c r="J44" s="3">
        <v>1.3970200000000001E-5</v>
      </c>
      <c r="K44" s="3">
        <v>1.19155E-5</v>
      </c>
    </row>
    <row r="45" spans="1:11" x14ac:dyDescent="0.35">
      <c r="A45">
        <v>0.03</v>
      </c>
      <c r="B45">
        <f t="shared" si="4"/>
        <v>1.1712139482105104E-6</v>
      </c>
      <c r="C45">
        <v>0.02</v>
      </c>
      <c r="D45">
        <f>C45/I6</f>
        <v>1.3970246950378915E-5</v>
      </c>
      <c r="E45">
        <f>I3*B45*(0.09)^2*10^9</f>
        <v>1.1915462223514447E-5</v>
      </c>
      <c r="F45">
        <f t="shared" si="5"/>
        <v>14.70829</v>
      </c>
      <c r="I45" s="3">
        <f>1/0.00000111052</f>
        <v>900479.05485718406</v>
      </c>
      <c r="J45" s="3">
        <v>1.32717E-5</v>
      </c>
      <c r="K45" s="3">
        <v>1.1297999999999999E-5</v>
      </c>
    </row>
    <row r="46" spans="1:11" x14ac:dyDescent="0.35">
      <c r="A46">
        <v>3.5000000000000003E-2</v>
      </c>
      <c r="B46">
        <f t="shared" si="4"/>
        <v>1.1105209074069654E-6</v>
      </c>
      <c r="C46">
        <v>1.9E-2</v>
      </c>
      <c r="D46">
        <f>C46/I6</f>
        <v>1.3271734602859969E-5</v>
      </c>
      <c r="E46">
        <f>I3*B46*(0.09)^2*10^9</f>
        <v>1.1297995503595503E-5</v>
      </c>
      <c r="F46">
        <f t="shared" si="5"/>
        <v>14.87175</v>
      </c>
      <c r="I46" s="3">
        <f>1/0.00000104675</f>
        <v>955337.95080009557</v>
      </c>
      <c r="J46" s="3">
        <v>1.25034E-5</v>
      </c>
      <c r="K46" s="3">
        <v>1.06492E-5</v>
      </c>
    </row>
    <row r="47" spans="1:11" x14ac:dyDescent="0.35">
      <c r="A47">
        <v>0.04</v>
      </c>
      <c r="B47">
        <f t="shared" si="4"/>
        <v>1.0467486238490914E-6</v>
      </c>
      <c r="C47">
        <v>1.7899999999999999E-2</v>
      </c>
      <c r="D47">
        <f>C47/I6</f>
        <v>1.2503371020589128E-5</v>
      </c>
      <c r="E47">
        <f>I3*B47*(0.09)^2*10^9</f>
        <v>1.0649201799591115E-5</v>
      </c>
      <c r="F47">
        <f t="shared" si="5"/>
        <v>14.82935</v>
      </c>
      <c r="I47" s="3">
        <f>1/0.000000981539</f>
        <v>1018808.2185221371</v>
      </c>
      <c r="J47" s="3">
        <v>1.16652E-5</v>
      </c>
      <c r="K47" s="3">
        <v>9.9857800000000005E-6</v>
      </c>
    </row>
    <row r="48" spans="1:11" x14ac:dyDescent="0.35">
      <c r="A48">
        <v>4.4999999999999998E-2</v>
      </c>
      <c r="B48">
        <f t="shared" si="4"/>
        <v>9.8153875555546401E-7</v>
      </c>
      <c r="C48">
        <v>1.67E-2</v>
      </c>
      <c r="D48">
        <f>C48/I6</f>
        <v>1.1665156203566392E-5</v>
      </c>
      <c r="E48">
        <f>I3*B48*(0.09)^2*10^9</f>
        <v>9.985782683519067E-6</v>
      </c>
      <c r="F48">
        <f t="shared" si="5"/>
        <v>14.39649</v>
      </c>
      <c r="I48" s="3">
        <f>1/0.000000916307</f>
        <v>1091337.2919774705</v>
      </c>
      <c r="J48" s="3">
        <v>1.08968E-5</v>
      </c>
      <c r="K48" s="3">
        <v>9.3221500000000002E-6</v>
      </c>
    </row>
    <row r="49" spans="1:11" x14ac:dyDescent="0.35">
      <c r="A49">
        <v>0.05</v>
      </c>
      <c r="B49">
        <f t="shared" si="4"/>
        <v>9.1630741731817409E-7</v>
      </c>
      <c r="C49">
        <v>1.5599999999999999E-2</v>
      </c>
      <c r="D49">
        <f>C49/I6</f>
        <v>1.0896792621295553E-5</v>
      </c>
      <c r="E49">
        <f>I3*B49*(0.09)^2*10^9</f>
        <v>9.3221451408281754E-6</v>
      </c>
      <c r="F49">
        <f t="shared" si="5"/>
        <v>14.450559999999999</v>
      </c>
      <c r="I49" s="3">
        <f>1/0.000000852217</f>
        <v>1173410.0587057052</v>
      </c>
      <c r="J49" s="3">
        <v>1.0128399999999999E-5</v>
      </c>
      <c r="K49" s="3">
        <v>8.6701099999999992E-6</v>
      </c>
    </row>
    <row r="50" spans="1:11" x14ac:dyDescent="0.35">
      <c r="A50">
        <v>5.5E-2</v>
      </c>
      <c r="B50">
        <f t="shared" si="4"/>
        <v>8.5221656294827383E-7</v>
      </c>
      <c r="C50">
        <v>1.4500000000000001E-2</v>
      </c>
      <c r="D50">
        <f>C50/I6</f>
        <v>1.0128429039024714E-5</v>
      </c>
      <c r="E50">
        <f>I3*B50*(0.09)^2*10^9</f>
        <v>8.6701104248105579E-6</v>
      </c>
      <c r="F50">
        <f t="shared" si="5"/>
        <v>14.39827</v>
      </c>
      <c r="I50" s="3">
        <f>1/0.000000790171</f>
        <v>1265548.8495528183</v>
      </c>
      <c r="J50" s="3">
        <v>9.36007E-6</v>
      </c>
      <c r="K50" s="3">
        <v>8.0388899999999995E-6</v>
      </c>
    </row>
    <row r="51" spans="1:11" ht="17.850000000000001" thickBot="1" x14ac:dyDescent="0.4">
      <c r="A51">
        <v>0.06</v>
      </c>
      <c r="B51">
        <f t="shared" si="4"/>
        <v>7.9017121969405865E-7</v>
      </c>
      <c r="C51">
        <v>1.34E-2</v>
      </c>
      <c r="D51">
        <f>C51/I6</f>
        <v>9.3600654567538733E-6</v>
      </c>
      <c r="E51">
        <f>I3*B51*(0.09)^2*10^9</f>
        <v>8.0388859206794746E-6</v>
      </c>
      <c r="F51">
        <f t="shared" si="5"/>
        <v>14.115069999999999</v>
      </c>
      <c r="I51" s="4">
        <f>1/0.000000730835</f>
        <v>1368297.9058200552</v>
      </c>
      <c r="J51" s="4">
        <v>8.7314000000000008E-6</v>
      </c>
      <c r="K51" s="4">
        <v>7.43523E-6</v>
      </c>
    </row>
    <row r="52" spans="1:11" ht="17.850000000000001" thickTop="1" x14ac:dyDescent="0.35">
      <c r="A52">
        <v>6.5000000000000002E-2</v>
      </c>
      <c r="B52">
        <f t="shared" si="4"/>
        <v>7.3083545494692907E-7</v>
      </c>
      <c r="C52">
        <v>1.2500000000000001E-2</v>
      </c>
      <c r="D52">
        <f>C52/I6</f>
        <v>8.7314043439868223E-6</v>
      </c>
      <c r="E52">
        <f>I3*B52*(0.09)^2*10^9</f>
        <v>7.4352275844480759E-6</v>
      </c>
      <c r="F52">
        <f t="shared" si="5"/>
        <v>14.845000000000001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2017-11-22T08:45:51Z</dcterms:modified>
</cp:coreProperties>
</file>