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15180" windowHeight="8070" tabRatio="842"/>
  </bookViews>
  <sheets>
    <sheet name="Compare_DR" sheetId="14" r:id="rId1"/>
    <sheet name="base_case" sheetId="13" r:id="rId2"/>
    <sheet name="Errors" sheetId="15" r:id="rId3"/>
    <sheet name="flash" sheetId="8" r:id="rId4"/>
    <sheet name="compressors" sheetId="12" r:id="rId5"/>
    <sheet name="mixer" sheetId="11" r:id="rId6"/>
    <sheet name="heater1" sheetId="9" r:id="rId7"/>
    <sheet name="heater 2" sheetId="10" r:id="rId8"/>
  </sheets>
  <calcPr calcId="145621"/>
</workbook>
</file>

<file path=xl/calcChain.xml><?xml version="1.0" encoding="utf-8"?>
<calcChain xmlns="http://schemas.openxmlformats.org/spreadsheetml/2006/main">
  <c r="E28" i="12" l="1"/>
  <c r="F28" i="12" s="1"/>
  <c r="E29" i="12"/>
  <c r="E30" i="12"/>
  <c r="E31" i="12"/>
  <c r="F31" i="12" s="1"/>
  <c r="F29" i="12"/>
  <c r="F30" i="12"/>
  <c r="H12" i="12"/>
  <c r="H11" i="12"/>
  <c r="H10" i="12"/>
  <c r="H9" i="12"/>
  <c r="H8" i="12"/>
  <c r="G9" i="12"/>
  <c r="G10" i="12"/>
  <c r="G11" i="12"/>
  <c r="G12" i="12"/>
  <c r="G8" i="12"/>
  <c r="D9" i="12"/>
  <c r="D10" i="12"/>
  <c r="D11" i="12"/>
  <c r="D12" i="12"/>
  <c r="D8" i="12"/>
  <c r="S18" i="8"/>
  <c r="R18" i="8"/>
  <c r="Q18" i="8"/>
  <c r="P18" i="8"/>
  <c r="O18" i="8"/>
  <c r="S17" i="8"/>
  <c r="R17" i="8"/>
  <c r="Q17" i="8"/>
  <c r="P17" i="8"/>
  <c r="O17" i="8"/>
  <c r="L35" i="14" l="1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C34" i="14"/>
  <c r="B34" i="14"/>
  <c r="L32" i="14"/>
  <c r="K32" i="14"/>
  <c r="J32" i="14"/>
  <c r="I32" i="14"/>
  <c r="H32" i="14"/>
  <c r="G32" i="14"/>
  <c r="F32" i="14"/>
  <c r="E32" i="14"/>
  <c r="D32" i="14"/>
  <c r="C32" i="14"/>
  <c r="B32" i="14"/>
  <c r="L31" i="14"/>
  <c r="K31" i="14"/>
  <c r="J31" i="14"/>
  <c r="I31" i="14"/>
  <c r="H31" i="14"/>
  <c r="G31" i="14"/>
  <c r="F31" i="14"/>
  <c r="E31" i="14"/>
  <c r="D31" i="14"/>
  <c r="C31" i="14"/>
  <c r="B31" i="14"/>
  <c r="L30" i="14"/>
  <c r="K30" i="14"/>
  <c r="J30" i="14"/>
  <c r="I30" i="14"/>
  <c r="H30" i="14"/>
  <c r="G30" i="14"/>
  <c r="F30" i="14"/>
  <c r="E30" i="14"/>
  <c r="D30" i="14"/>
  <c r="C30" i="14"/>
  <c r="B30" i="14"/>
  <c r="L29" i="14"/>
  <c r="K29" i="14"/>
  <c r="J29" i="14"/>
  <c r="I29" i="14"/>
  <c r="H29" i="14"/>
  <c r="G29" i="14"/>
  <c r="F29" i="14"/>
  <c r="E29" i="14"/>
  <c r="D29" i="14"/>
  <c r="C29" i="14"/>
  <c r="B29" i="14"/>
  <c r="C28" i="14"/>
  <c r="D28" i="14"/>
  <c r="E28" i="14"/>
  <c r="F28" i="14"/>
  <c r="G28" i="14"/>
  <c r="H28" i="14"/>
  <c r="I28" i="14"/>
  <c r="J28" i="14"/>
  <c r="K28" i="14"/>
  <c r="L28" i="14"/>
  <c r="B28" i="14"/>
  <c r="D31" i="12" l="1"/>
  <c r="D30" i="12"/>
  <c r="D29" i="12"/>
  <c r="D28" i="12"/>
  <c r="B21" i="12"/>
  <c r="B22" i="12" s="1"/>
  <c r="F12" i="12"/>
  <c r="B12" i="12"/>
  <c r="F11" i="12"/>
  <c r="B11" i="12"/>
  <c r="F10" i="12"/>
  <c r="B10" i="12"/>
  <c r="F9" i="12"/>
  <c r="B9" i="12"/>
  <c r="F8" i="12"/>
  <c r="F15" i="12" s="1"/>
  <c r="G15" i="12" s="1"/>
  <c r="B8" i="12"/>
  <c r="B16" i="12" s="1"/>
  <c r="F16" i="12" l="1"/>
  <c r="B14" i="12"/>
  <c r="B15" i="12"/>
  <c r="F14" i="12"/>
  <c r="F17" i="12" s="1"/>
  <c r="E36" i="11"/>
  <c r="F36" i="11" s="1"/>
  <c r="E27" i="11"/>
  <c r="F27" i="11" s="1"/>
  <c r="E18" i="11"/>
  <c r="F18" i="11" s="1"/>
  <c r="E9" i="11"/>
  <c r="F9" i="11" s="1"/>
  <c r="J12" i="10"/>
  <c r="B12" i="10"/>
  <c r="J11" i="10"/>
  <c r="B11" i="10"/>
  <c r="J10" i="10"/>
  <c r="I9" i="10" s="1"/>
  <c r="J9" i="10" s="1"/>
  <c r="B10" i="10"/>
  <c r="D9" i="10" s="1"/>
  <c r="E9" i="10" s="1"/>
  <c r="I8" i="10"/>
  <c r="J8" i="10" s="1"/>
  <c r="I6" i="10"/>
  <c r="J6" i="10" s="1"/>
  <c r="F8" i="9"/>
  <c r="G8" i="9" s="1"/>
  <c r="F7" i="9"/>
  <c r="G7" i="9" s="1"/>
  <c r="F6" i="9"/>
  <c r="G6" i="9" s="1"/>
  <c r="F5" i="9"/>
  <c r="G5" i="9" s="1"/>
  <c r="F4" i="9"/>
  <c r="G4" i="9" s="1"/>
  <c r="B9" i="9" s="1"/>
  <c r="C9" i="12" l="1"/>
  <c r="C11" i="12"/>
  <c r="C8" i="12"/>
  <c r="C10" i="12"/>
  <c r="C12" i="12"/>
  <c r="I7" i="10"/>
  <c r="J7" i="10" s="1"/>
  <c r="D6" i="10"/>
  <c r="E6" i="10" s="1"/>
  <c r="D7" i="10"/>
  <c r="E7" i="10" s="1"/>
  <c r="D8" i="10"/>
  <c r="E8" i="10" s="1"/>
  <c r="B10" i="9"/>
  <c r="C9" i="9"/>
  <c r="L19" i="8" l="1"/>
  <c r="K19" i="8"/>
  <c r="J19" i="8"/>
  <c r="I19" i="8"/>
  <c r="H19" i="8"/>
  <c r="G19" i="8"/>
  <c r="F19" i="8"/>
  <c r="E19" i="8"/>
  <c r="D19" i="8"/>
  <c r="C19" i="8"/>
  <c r="L18" i="8"/>
  <c r="K18" i="8"/>
  <c r="J18" i="8"/>
  <c r="I18" i="8"/>
  <c r="H18" i="8"/>
  <c r="G18" i="8"/>
  <c r="F18" i="8"/>
  <c r="E18" i="8"/>
  <c r="D18" i="8"/>
  <c r="C18" i="8"/>
  <c r="L17" i="8"/>
  <c r="K17" i="8"/>
  <c r="J17" i="8"/>
  <c r="I17" i="8"/>
  <c r="H17" i="8"/>
  <c r="G17" i="8"/>
  <c r="F17" i="8"/>
  <c r="E17" i="8"/>
  <c r="D17" i="8"/>
  <c r="C17" i="8"/>
  <c r="L16" i="8"/>
  <c r="K16" i="8"/>
  <c r="J16" i="8"/>
  <c r="I16" i="8"/>
  <c r="H16" i="8"/>
  <c r="G16" i="8"/>
  <c r="F16" i="8"/>
  <c r="E16" i="8"/>
  <c r="D16" i="8"/>
  <c r="C16" i="8"/>
  <c r="L15" i="8"/>
  <c r="K15" i="8"/>
  <c r="J15" i="8"/>
  <c r="I15" i="8"/>
  <c r="H15" i="8"/>
  <c r="G15" i="8"/>
  <c r="F15" i="8"/>
  <c r="E15" i="8"/>
  <c r="D15" i="8"/>
  <c r="C15" i="8"/>
  <c r="S16" i="8"/>
  <c r="R16" i="8"/>
  <c r="Q16" i="8"/>
  <c r="P16" i="8"/>
  <c r="O16" i="8"/>
  <c r="P29" i="8" l="1"/>
  <c r="Q29" i="8" s="1"/>
  <c r="P31" i="8"/>
  <c r="Q31" i="8" s="1"/>
  <c r="P28" i="8"/>
  <c r="Q28" i="8" s="1"/>
  <c r="P30" i="8"/>
  <c r="Q30" i="8" s="1"/>
  <c r="P32" i="8"/>
  <c r="Q32" i="8" s="1"/>
  <c r="P39" i="8"/>
  <c r="Q39" i="8" s="1"/>
  <c r="P41" i="8"/>
  <c r="Q41" i="8" s="1"/>
  <c r="P40" i="8"/>
  <c r="Q40" i="8" s="1"/>
  <c r="P42" i="8"/>
  <c r="Q42" i="8" s="1"/>
  <c r="P38" i="8"/>
  <c r="Q38" i="8" s="1"/>
  <c r="P24" i="8"/>
  <c r="Q24" i="8" s="1"/>
  <c r="P26" i="8"/>
  <c r="Q26" i="8" s="1"/>
  <c r="P23" i="8"/>
  <c r="Q23" i="8" s="1"/>
  <c r="P25" i="8"/>
  <c r="Q25" i="8" s="1"/>
  <c r="P27" i="8"/>
  <c r="Q27" i="8" s="1"/>
  <c r="P33" i="8"/>
  <c r="Q33" i="8" s="1"/>
  <c r="P34" i="8"/>
  <c r="Q34" i="8" s="1"/>
  <c r="P36" i="8"/>
  <c r="Q36" i="8" s="1"/>
  <c r="P35" i="8"/>
  <c r="Q35" i="8" s="1"/>
  <c r="P37" i="8"/>
  <c r="Q37" i="8" s="1"/>
  <c r="P44" i="8"/>
  <c r="Q44" i="8" s="1"/>
  <c r="P46" i="8"/>
  <c r="Q46" i="8" s="1"/>
  <c r="P43" i="8"/>
  <c r="Q43" i="8" s="1"/>
  <c r="P45" i="8"/>
  <c r="Q45" i="8" s="1"/>
  <c r="P47" i="8"/>
  <c r="Q47" i="8" s="1"/>
</calcChain>
</file>

<file path=xl/sharedStrings.xml><?xml version="1.0" encoding="utf-8"?>
<sst xmlns="http://schemas.openxmlformats.org/spreadsheetml/2006/main" count="302" uniqueCount="165">
  <si>
    <t>File:</t>
  </si>
  <si>
    <t>Ammonia_test_mixer.ise</t>
  </si>
  <si>
    <t>Input 1</t>
  </si>
  <si>
    <t>Input 2</t>
  </si>
  <si>
    <t>Mixer Outlet</t>
  </si>
  <si>
    <t>F</t>
  </si>
  <si>
    <t>T</t>
  </si>
  <si>
    <t>P</t>
  </si>
  <si>
    <t>z</t>
  </si>
  <si>
    <t>Expected model</t>
  </si>
  <si>
    <t>Error</t>
  </si>
  <si>
    <t>Scenarios</t>
  </si>
  <si>
    <t>Ammonia_test_heater.ise</t>
  </si>
  <si>
    <t>Heater 1</t>
  </si>
  <si>
    <t>A</t>
  </si>
  <si>
    <t>B</t>
  </si>
  <si>
    <t>C</t>
  </si>
  <si>
    <t>D</t>
  </si>
  <si>
    <t>H2</t>
  </si>
  <si>
    <t>N2</t>
  </si>
  <si>
    <t>Ar</t>
  </si>
  <si>
    <t>CH4</t>
  </si>
  <si>
    <t>NH3</t>
  </si>
  <si>
    <t xml:space="preserve">Cp </t>
  </si>
  <si>
    <t>CP</t>
  </si>
  <si>
    <t>Tm</t>
  </si>
  <si>
    <t>Output 2</t>
  </si>
  <si>
    <t>Q</t>
  </si>
  <si>
    <t>T reactor</t>
  </si>
  <si>
    <t>Fout copy</t>
  </si>
  <si>
    <t>H out copy</t>
  </si>
  <si>
    <t>TH2 Outlet</t>
  </si>
  <si>
    <t>Hout copy</t>
  </si>
  <si>
    <t>m</t>
  </si>
  <si>
    <t>b</t>
  </si>
  <si>
    <t>r2</t>
  </si>
  <si>
    <t>Hout Model</t>
  </si>
  <si>
    <t>Compressor 1</t>
  </si>
  <si>
    <t>Compressor 2</t>
  </si>
  <si>
    <t>Pressure</t>
  </si>
  <si>
    <t>Delta T</t>
  </si>
  <si>
    <t>Delta Tin = 0</t>
  </si>
  <si>
    <t>Delta Tin = +3</t>
  </si>
  <si>
    <t>Delta Tin = -3</t>
  </si>
  <si>
    <t>Delta Tin = +6</t>
  </si>
  <si>
    <t>Delta Tin = -6</t>
  </si>
  <si>
    <t>ammonia_test_compressors.ise</t>
  </si>
  <si>
    <t>Tr= 410 P=199, T=-34</t>
  </si>
  <si>
    <t>Tr= 400 P=199, T=-34</t>
  </si>
  <si>
    <t>Tr= 390P=199, T=-34</t>
  </si>
  <si>
    <t>Tr= 420P=199, T=-34</t>
  </si>
  <si>
    <t>Tr= 430P=199, T=-34</t>
  </si>
  <si>
    <t>Tr= 410 P=194, T=-34</t>
  </si>
  <si>
    <t>Tr= 410 P=189, T=-34</t>
  </si>
  <si>
    <t>Tr= 410 P=199, T=-29</t>
  </si>
  <si>
    <t>Tr= 410 P=199, T=-24</t>
  </si>
  <si>
    <t>Tr= 410 P=199, T=-39</t>
  </si>
  <si>
    <t>Tr= 410 P=199, T=-44</t>
  </si>
  <si>
    <t>Base Case</t>
  </si>
  <si>
    <t>Change in Reactor temperature</t>
  </si>
  <si>
    <t>Temperature</t>
  </si>
  <si>
    <t>K(H2)</t>
  </si>
  <si>
    <t>K(N2)</t>
  </si>
  <si>
    <t>K(Ar)</t>
  </si>
  <si>
    <t>K(CH4)</t>
  </si>
  <si>
    <t>K(NH3)</t>
  </si>
  <si>
    <t>Delta X (H2 e N2) - absolute</t>
  </si>
  <si>
    <t>Compressor 2 - irrelevant</t>
  </si>
  <si>
    <t>Error in outlet temperature varying inlet tempearature (at constant pressure)</t>
  </si>
  <si>
    <t>file</t>
  </si>
  <si>
    <t>Scenario 1</t>
  </si>
  <si>
    <t>Scenario 2</t>
  </si>
  <si>
    <t xml:space="preserve"> Scenario  3</t>
  </si>
  <si>
    <t xml:space="preserve"> Scenario 4</t>
  </si>
  <si>
    <t>Error (abs)</t>
  </si>
  <si>
    <t>Error(%)</t>
  </si>
  <si>
    <t>Gain</t>
  </si>
  <si>
    <t>Cp data obtained from: Introduction to Chemical Engineering Thermodynamics - 6th edition - J. M. Smith, H. C. Van - Hess and Michael M. Abbott -  McGraw-Hill Publishing Company</t>
  </si>
  <si>
    <t>Q - Simulation (MW)</t>
  </si>
  <si>
    <t>Effect of considering CP contant with the temperature and evaluated at a mean temperature = T_out - T_in</t>
  </si>
  <si>
    <t>while the other is to test the effect of the outlet heater temperature on the Hout.  The exchanger "Q" will be calculated in the</t>
  </si>
  <si>
    <t>simplified model using m.(delta H)</t>
  </si>
  <si>
    <t>The objective here is to adjust 2 linear curves: One to predict the effect of the outlet reactor temperature in the outlet enthalpy (Hout)</t>
  </si>
  <si>
    <t>involved when we mix the outlet streams of both compressors. A comparison is made calculating</t>
  </si>
  <si>
    <t>the outlet mixer temperature (simulation) vs the mean temperature (weighted by the molar flows).</t>
  </si>
  <si>
    <t>Relative error</t>
  </si>
  <si>
    <t>Change in outlet temperature with varying composition (at constant pressure)</t>
  </si>
  <si>
    <t>It is also the evaluated change in temperature varying the composition and the error commited when assuming a constant temperature.</t>
  </si>
  <si>
    <t>It is also the evaluated how a change in inlet temperature affects the outlet temperature of Compressor 1 and 2.</t>
  </si>
  <si>
    <t>R^2</t>
  </si>
  <si>
    <t>Linear adjustment</t>
  </si>
  <si>
    <t>The aim of this test is to fit a linear curve relating the outlet temperature (dependent) and outlet pressure (independent) of Compressor 1 and 2</t>
  </si>
  <si>
    <t>ammonia_test_flash.ise</t>
  </si>
  <si>
    <t>The objetive of this test is to chech wich variable have the most important influence on the outlet flash composition in order to predict the coeficient</t>
  </si>
  <si>
    <t>The first test evaluate the influence of the reactor temperature</t>
  </si>
  <si>
    <t>The second evaluate the flash pressure</t>
  </si>
  <si>
    <t>The third, the flash temperature</t>
  </si>
  <si>
    <t>Error(H2)</t>
  </si>
  <si>
    <t>Error(N2)</t>
  </si>
  <si>
    <t>Error(Ar)</t>
  </si>
  <si>
    <t>Error(CH4)</t>
  </si>
  <si>
    <t>Error(NH3)</t>
  </si>
  <si>
    <t>Since the flash temperature have the major contribution, a data fit of Temperature vs. Ki(partition coeficiet) was fitted.</t>
  </si>
  <si>
    <t>This is the base case where the initial data were obtained for comparison</t>
  </si>
  <si>
    <t>Stream</t>
  </si>
  <si>
    <t>X_H2</t>
  </si>
  <si>
    <t>X_N2</t>
  </si>
  <si>
    <t>X_Ar</t>
  </si>
  <si>
    <t>X_NCH4</t>
  </si>
  <si>
    <t>X_NH3</t>
  </si>
  <si>
    <t>Reconciled iiSE</t>
  </si>
  <si>
    <t>Reconciled Scilab</t>
  </si>
  <si>
    <t>Important variables</t>
  </si>
  <si>
    <t>File</t>
  </si>
  <si>
    <t>Change in Flash Pressure</t>
  </si>
  <si>
    <t>Change in Flash Temperature</t>
  </si>
  <si>
    <t>Flash Pressure</t>
  </si>
  <si>
    <t>Reactor Temperature</t>
  </si>
  <si>
    <t>Adjusted</t>
  </si>
  <si>
    <t>Simulation</t>
  </si>
  <si>
    <t>Error K(Ar)</t>
  </si>
  <si>
    <t>Error K(N2)</t>
  </si>
  <si>
    <t>Error K(H2)</t>
  </si>
  <si>
    <t>Error K(CH4)</t>
  </si>
  <si>
    <t>Error K(NH3)</t>
  </si>
  <si>
    <t>DP = -10 K</t>
  </si>
  <si>
    <t>DP = +10 K</t>
  </si>
  <si>
    <t>DP = -5bar</t>
  </si>
  <si>
    <t>Predicted</t>
  </si>
  <si>
    <t>Error in partition coeficient K varying parameters</t>
  </si>
  <si>
    <t>Flash Temperature (after Adjustment)</t>
  </si>
  <si>
    <t>Error in copressor outlet temperature</t>
  </si>
  <si>
    <t>DP = -10bar</t>
  </si>
  <si>
    <t>DF=+10bar</t>
  </si>
  <si>
    <t>Error Temperature</t>
  </si>
  <si>
    <t>DP=+10bar</t>
  </si>
  <si>
    <t>DX(N2 and H2) + 0.4</t>
  </si>
  <si>
    <t>Outlet Pressure</t>
  </si>
  <si>
    <t>Inlet Composition</t>
  </si>
  <si>
    <t>Inlet Temperature</t>
  </si>
  <si>
    <t>The objective of this test is to evaluate the error commited when we assume that no mixing heat is</t>
  </si>
  <si>
    <t>Error in mixer due to consider no mixing heat</t>
  </si>
  <si>
    <t>Delta Tin = +10</t>
  </si>
  <si>
    <t>DX(N2 and H2) + 0.15</t>
  </si>
  <si>
    <t>DX(N2 and H2) - 0.05</t>
  </si>
  <si>
    <t>Assuming that Cp is calculated based on Cp data evaluated aat a mean temperature = Tin - Tout</t>
  </si>
  <si>
    <t>Error Q</t>
  </si>
  <si>
    <t>Assuming that the heat at Heater 2 is obtained by an adusted enthalpy from simulation data</t>
  </si>
  <si>
    <t>DT = -5 K</t>
  </si>
  <si>
    <t>DT = +5 K</t>
  </si>
  <si>
    <t>DP=-10bar</t>
  </si>
  <si>
    <t>H inlet: DT = -10 K</t>
  </si>
  <si>
    <t>Hinlet: DT = +10 K</t>
  </si>
  <si>
    <t>H outlet: DT = -5 K</t>
  </si>
  <si>
    <t>Houtlet: DT = +5 K</t>
  </si>
  <si>
    <t>Variable</t>
  </si>
  <si>
    <t>Error (\%)</t>
  </si>
  <si>
    <t>Stream 1</t>
  </si>
  <si>
    <t>Stream 2</t>
  </si>
  <si>
    <t>Stream 3</t>
  </si>
  <si>
    <t>Stream 5</t>
  </si>
  <si>
    <t>Stream 9</t>
  </si>
  <si>
    <t>Stream 10</t>
  </si>
  <si>
    <t>Stream 11</t>
  </si>
  <si>
    <t>Error 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</si>
</sst>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%"/>
    <numFmt numFmtId="166" formatCode="0.000"/>
    <numFmt numFmtId="167" formatCode="0.000000"/>
    <numFmt numFmtId="168" formatCode="0.0000"/>
    <numFmt numFmtId="169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6" fontId="1" fillId="0" borderId="0" xfId="1" applyNumberFormat="1" applyFont="1"/>
    <xf numFmtId="168" fontId="1" fillId="0" borderId="0" xfId="1" applyNumberFormat="1" applyFont="1"/>
    <xf numFmtId="4" fontId="0" fillId="0" borderId="0" xfId="0" applyNumberFormat="1"/>
    <xf numFmtId="0" fontId="0" fillId="0" borderId="0" xfId="0" applyAlignment="1"/>
    <xf numFmtId="167" fontId="1" fillId="0" borderId="0" xfId="1" applyNumberFormat="1" applyFont="1"/>
    <xf numFmtId="0" fontId="0" fillId="2" borderId="0" xfId="0" applyFill="1"/>
    <xf numFmtId="169" fontId="0" fillId="2" borderId="0" xfId="0" applyNumberFormat="1" applyFill="1"/>
    <xf numFmtId="164" fontId="1" fillId="2" borderId="0" xfId="1" applyNumberFormat="1" applyFont="1" applyFill="1"/>
    <xf numFmtId="0" fontId="0" fillId="3" borderId="0" xfId="0" applyFill="1"/>
    <xf numFmtId="164" fontId="1" fillId="3" borderId="0" xfId="1" applyNumberFormat="1" applyFont="1" applyFill="1"/>
    <xf numFmtId="0" fontId="0" fillId="4" borderId="0" xfId="0" applyFill="1"/>
    <xf numFmtId="164" fontId="1" fillId="4" borderId="0" xfId="1" applyNumberFormat="1" applyFont="1" applyFill="1"/>
    <xf numFmtId="0" fontId="0" fillId="5" borderId="0" xfId="0" applyFill="1"/>
    <xf numFmtId="169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10" fontId="0" fillId="6" borderId="0" xfId="1" applyNumberFormat="1" applyFont="1" applyFill="1"/>
    <xf numFmtId="0" fontId="0" fillId="0" borderId="0" xfId="0" applyAlignment="1">
      <alignment horizontal="center"/>
    </xf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6" xfId="0" applyFill="1" applyBorder="1"/>
    <xf numFmtId="0" fontId="0" fillId="7" borderId="0" xfId="0" applyFill="1"/>
    <xf numFmtId="11" fontId="0" fillId="0" borderId="0" xfId="0" applyNumberFormat="1"/>
    <xf numFmtId="0" fontId="0" fillId="8" borderId="0" xfId="0" applyFill="1"/>
    <xf numFmtId="11" fontId="0" fillId="8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flash!$N$9:$N$13</c:f>
              <c:numCache>
                <c:formatCode>General</c:formatCode>
                <c:ptCount val="5"/>
                <c:pt idx="0">
                  <c:v>-34</c:v>
                </c:pt>
                <c:pt idx="1">
                  <c:v>-29</c:v>
                </c:pt>
                <c:pt idx="2">
                  <c:v>-24</c:v>
                </c:pt>
                <c:pt idx="3">
                  <c:v>-39</c:v>
                </c:pt>
                <c:pt idx="4">
                  <c:v>-44</c:v>
                </c:pt>
              </c:numCache>
            </c:numRef>
          </c:xVal>
          <c:yVal>
            <c:numRef>
              <c:f>flash!$S$9:$S$13</c:f>
              <c:numCache>
                <c:formatCode>General</c:formatCode>
                <c:ptCount val="5"/>
                <c:pt idx="0" formatCode="0.00000000000">
                  <c:v>6.416107024844105E-3</c:v>
                </c:pt>
                <c:pt idx="1">
                  <c:v>8.1515574228661989E-3</c:v>
                </c:pt>
                <c:pt idx="2">
                  <c:v>1.0237635918530047E-2</c:v>
                </c:pt>
                <c:pt idx="3">
                  <c:v>4.9883508626275856E-3</c:v>
                </c:pt>
                <c:pt idx="4">
                  <c:v>3.8276360728012721E-3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8320"/>
        <c:axId val="193689856"/>
      </c:scatterChart>
      <c:valAx>
        <c:axId val="193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89856"/>
        <c:crosses val="autoZero"/>
        <c:crossBetween val="midCat"/>
      </c:valAx>
      <c:valAx>
        <c:axId val="193689856"/>
        <c:scaling>
          <c:orientation val="minMax"/>
        </c:scaling>
        <c:delete val="0"/>
        <c:axPos val="l"/>
        <c:majorGridlines/>
        <c:numFmt formatCode="0.00000000000" sourceLinked="1"/>
        <c:majorTickMark val="out"/>
        <c:minorTickMark val="none"/>
        <c:tickLblPos val="nextTo"/>
        <c:crossAx val="19368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11</xdr:row>
      <xdr:rowOff>133350</xdr:rowOff>
    </xdr:from>
    <xdr:to>
      <xdr:col>10</xdr:col>
      <xdr:colOff>116434</xdr:colOff>
      <xdr:row>28</xdr:row>
      <xdr:rowOff>43702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28850"/>
          <a:ext cx="6126709" cy="3148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66675</xdr:rowOff>
    </xdr:from>
    <xdr:to>
      <xdr:col>12</xdr:col>
      <xdr:colOff>1009650</xdr:colOff>
      <xdr:row>22</xdr:row>
      <xdr:rowOff>1</xdr:rowOff>
    </xdr:to>
    <xdr:cxnSp macro="">
      <xdr:nvCxnSpPr>
        <xdr:cNvPr id="4" name="Conector de seta reta 3"/>
        <xdr:cNvCxnSpPr/>
      </xdr:nvCxnSpPr>
      <xdr:spPr>
        <a:xfrm flipV="1">
          <a:off x="14249400" y="2352675"/>
          <a:ext cx="695325" cy="1838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900112</xdr:colOff>
      <xdr:row>29</xdr:row>
      <xdr:rowOff>28575</xdr:rowOff>
    </xdr:from>
    <xdr:to>
      <xdr:col>12</xdr:col>
      <xdr:colOff>461962</xdr:colOff>
      <xdr:row>43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43</xdr:row>
      <xdr:rowOff>19050</xdr:rowOff>
    </xdr:from>
    <xdr:to>
      <xdr:col>15</xdr:col>
      <xdr:colOff>526009</xdr:colOff>
      <xdr:row>59</xdr:row>
      <xdr:rowOff>119902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7639050"/>
          <a:ext cx="6126709" cy="31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L52"/>
  <sheetViews>
    <sheetView tabSelected="1" topLeftCell="A26" zoomScale="85" zoomScaleNormal="85" workbookViewId="0">
      <selection activeCell="A38" sqref="A38:H44"/>
    </sheetView>
  </sheetViews>
  <sheetFormatPr defaultRowHeight="15" x14ac:dyDescent="0.25"/>
  <sheetData>
    <row r="3" spans="1:12" x14ac:dyDescent="0.25">
      <c r="A3" t="s">
        <v>113</v>
      </c>
    </row>
    <row r="4" spans="1:12" x14ac:dyDescent="0.25">
      <c r="A4" t="s">
        <v>110</v>
      </c>
    </row>
    <row r="5" spans="1:12" x14ac:dyDescent="0.25">
      <c r="A5" t="s">
        <v>104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</row>
    <row r="6" spans="1:12" x14ac:dyDescent="0.25">
      <c r="A6" t="s">
        <v>7</v>
      </c>
      <c r="B6">
        <v>10</v>
      </c>
      <c r="C6">
        <v>210.00000000000003</v>
      </c>
      <c r="D6">
        <v>210.00000000000003</v>
      </c>
      <c r="E6">
        <v>200.00000000000003</v>
      </c>
      <c r="F6">
        <v>200.00000000000003</v>
      </c>
      <c r="G6">
        <v>199.00000000000003</v>
      </c>
      <c r="H6">
        <v>199.00000000000003</v>
      </c>
      <c r="I6">
        <v>199.00000000000003</v>
      </c>
      <c r="J6">
        <v>199.00000000000003</v>
      </c>
      <c r="K6">
        <v>210.00000000000003</v>
      </c>
      <c r="L6">
        <v>199.00000000000003</v>
      </c>
    </row>
    <row r="7" spans="1:12" x14ac:dyDescent="0.25">
      <c r="A7" t="s">
        <v>5</v>
      </c>
      <c r="B7">
        <v>908.96</v>
      </c>
      <c r="C7">
        <v>908.96</v>
      </c>
      <c r="D7">
        <v>1490.4187587226497</v>
      </c>
      <c r="E7">
        <v>1490.4187587226497</v>
      </c>
      <c r="F7">
        <v>1119.3907262632042</v>
      </c>
      <c r="G7">
        <v>1119.3907262632042</v>
      </c>
      <c r="H7">
        <v>745.45994708032026</v>
      </c>
      <c r="I7">
        <v>164.00118835767043</v>
      </c>
      <c r="J7">
        <v>581.4587587226498</v>
      </c>
      <c r="K7">
        <v>581.4587587226498</v>
      </c>
      <c r="L7">
        <v>373.93077918288407</v>
      </c>
    </row>
    <row r="8" spans="1:12" x14ac:dyDescent="0.25">
      <c r="A8" t="s">
        <v>6</v>
      </c>
      <c r="B8">
        <v>26.284641574789362</v>
      </c>
      <c r="C8">
        <v>453.84000000000003</v>
      </c>
      <c r="D8">
        <v>267.16313523475912</v>
      </c>
      <c r="E8">
        <v>400</v>
      </c>
      <c r="F8">
        <v>406.9</v>
      </c>
      <c r="G8">
        <v>-32.655000000000001</v>
      </c>
      <c r="H8">
        <v>-32.655000000000001</v>
      </c>
      <c r="I8">
        <v>-32.655000000000001</v>
      </c>
      <c r="J8">
        <v>-32.655000000000001</v>
      </c>
      <c r="K8">
        <v>-28.742294297918505</v>
      </c>
      <c r="L8">
        <v>-32.655000000000001</v>
      </c>
    </row>
    <row r="9" spans="1:12" x14ac:dyDescent="0.25">
      <c r="A9" t="s">
        <v>105</v>
      </c>
      <c r="B9">
        <v>0.75037799999999999</v>
      </c>
      <c r="C9">
        <v>0.75037799999999999</v>
      </c>
      <c r="D9">
        <v>0.75089288449253178</v>
      </c>
      <c r="E9">
        <v>0.75089288449253178</v>
      </c>
      <c r="F9">
        <v>0.50259708715189</v>
      </c>
      <c r="G9">
        <v>0.50259708715189</v>
      </c>
      <c r="H9">
        <v>0.75169777283649497</v>
      </c>
      <c r="I9">
        <v>0.75169777283649497</v>
      </c>
      <c r="J9">
        <v>0.75169777283649497</v>
      </c>
      <c r="K9">
        <v>0.75169777283649497</v>
      </c>
      <c r="L9">
        <v>5.8146423469065131E-3</v>
      </c>
    </row>
    <row r="10" spans="1:12" x14ac:dyDescent="0.25">
      <c r="A10" t="s">
        <v>106</v>
      </c>
      <c r="B10">
        <v>0.24962200000000001</v>
      </c>
      <c r="C10">
        <v>0.24962200000000001</v>
      </c>
      <c r="D10">
        <v>0.24643870543106905</v>
      </c>
      <c r="E10">
        <v>0.24643870543106905</v>
      </c>
      <c r="F10">
        <v>0.16239437913856228</v>
      </c>
      <c r="G10">
        <v>0.16239437913856228</v>
      </c>
      <c r="H10">
        <v>0.2414624498443298</v>
      </c>
      <c r="I10">
        <v>0.2414624498443298</v>
      </c>
      <c r="J10">
        <v>0.2414624498443298</v>
      </c>
      <c r="K10">
        <v>0.2414624498443298</v>
      </c>
      <c r="L10">
        <v>4.7086253714495171E-3</v>
      </c>
    </row>
    <row r="11" spans="1:12" x14ac:dyDescent="0.25">
      <c r="A11" t="s">
        <v>107</v>
      </c>
      <c r="B11">
        <v>0</v>
      </c>
      <c r="C11">
        <v>0</v>
      </c>
      <c r="D11">
        <v>1.3814546105085504E-21</v>
      </c>
      <c r="E11">
        <v>1.3814546105085504E-21</v>
      </c>
      <c r="F11">
        <v>1.1622173392063813E-21</v>
      </c>
      <c r="G11">
        <v>1.1622173392063813E-21</v>
      </c>
      <c r="H11">
        <v>9.2421227890620458E-22</v>
      </c>
      <c r="I11">
        <v>9.2421227890620458E-22</v>
      </c>
      <c r="J11">
        <v>9.2421227890620458E-22</v>
      </c>
      <c r="K11">
        <v>9.2421227890620458E-22</v>
      </c>
      <c r="L11">
        <v>1.6152030293782832E-22</v>
      </c>
    </row>
    <row r="12" spans="1:12" x14ac:dyDescent="0.25">
      <c r="A12" t="s">
        <v>108</v>
      </c>
      <c r="B12">
        <v>1.0101E-10</v>
      </c>
      <c r="C12">
        <v>1.0101E-10</v>
      </c>
      <c r="D12">
        <v>2.2362253384771225E-10</v>
      </c>
      <c r="E12">
        <v>2.2362253384771225E-10</v>
      </c>
      <c r="F12">
        <v>2.9774327658650528E-10</v>
      </c>
      <c r="G12">
        <v>2.9774327658650528E-10</v>
      </c>
      <c r="H12">
        <v>4.1529509953210941E-10</v>
      </c>
      <c r="I12">
        <v>4.1529509953210941E-10</v>
      </c>
      <c r="J12">
        <v>4.1529509953210941E-10</v>
      </c>
      <c r="K12">
        <v>4.1529509953210941E-10</v>
      </c>
      <c r="L12">
        <v>6.3308566227435324E-11</v>
      </c>
    </row>
    <row r="13" spans="1:12" x14ac:dyDescent="0.25">
      <c r="A13" t="s">
        <v>109</v>
      </c>
      <c r="B13">
        <v>2.0101E-7</v>
      </c>
      <c r="C13">
        <v>2.0101E-7</v>
      </c>
      <c r="D13">
        <v>2.6685325041204146E-3</v>
      </c>
      <c r="E13">
        <v>2.6685325041204146E-3</v>
      </c>
      <c r="F13">
        <v>0.33500853341180425</v>
      </c>
      <c r="G13">
        <v>0.33500853341180425</v>
      </c>
      <c r="H13">
        <v>6.8397769038802203E-3</v>
      </c>
      <c r="I13">
        <v>6.8397769038802203E-3</v>
      </c>
      <c r="J13">
        <v>6.8397769038802203E-3</v>
      </c>
      <c r="K13">
        <v>6.8397769038802203E-3</v>
      </c>
      <c r="L13">
        <v>0.98947673221833532</v>
      </c>
    </row>
    <row r="15" spans="1:12" x14ac:dyDescent="0.25">
      <c r="A15" t="s">
        <v>111</v>
      </c>
    </row>
    <row r="16" spans="1:12" x14ac:dyDescent="0.25">
      <c r="A16" t="s">
        <v>104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</row>
    <row r="17" spans="1:12" x14ac:dyDescent="0.25">
      <c r="A17" t="s">
        <v>7</v>
      </c>
      <c r="B17">
        <v>10</v>
      </c>
      <c r="C17">
        <v>210</v>
      </c>
      <c r="D17">
        <v>210</v>
      </c>
      <c r="E17">
        <v>200</v>
      </c>
      <c r="F17">
        <v>200</v>
      </c>
      <c r="G17">
        <v>199</v>
      </c>
      <c r="H17">
        <v>199</v>
      </c>
      <c r="I17">
        <v>199</v>
      </c>
      <c r="J17">
        <v>199</v>
      </c>
      <c r="K17">
        <v>210</v>
      </c>
      <c r="L17">
        <v>199</v>
      </c>
    </row>
    <row r="18" spans="1:12" x14ac:dyDescent="0.25">
      <c r="A18" t="s">
        <v>5</v>
      </c>
      <c r="B18" s="38">
        <v>908.96312</v>
      </c>
      <c r="C18">
        <v>908.96312</v>
      </c>
      <c r="D18">
        <v>1573.8110999999999</v>
      </c>
      <c r="E18">
        <v>1573.8110999999999</v>
      </c>
      <c r="F18">
        <v>1197.4132</v>
      </c>
      <c r="G18">
        <v>1197.4132</v>
      </c>
      <c r="H18">
        <v>852.36915999999997</v>
      </c>
      <c r="I18">
        <v>187.52122</v>
      </c>
      <c r="J18">
        <v>664.84793999999999</v>
      </c>
      <c r="K18">
        <v>664.84793999999999</v>
      </c>
      <c r="L18">
        <v>345.04406999999998</v>
      </c>
    </row>
    <row r="19" spans="1:12" x14ac:dyDescent="0.25">
      <c r="A19" t="s">
        <v>6</v>
      </c>
      <c r="B19">
        <v>27</v>
      </c>
      <c r="C19" s="38">
        <v>453.84278999999998</v>
      </c>
      <c r="D19" s="40">
        <v>249.99536000000001</v>
      </c>
      <c r="E19">
        <v>406.92498999999998</v>
      </c>
      <c r="F19" s="38">
        <v>406.92498999999998</v>
      </c>
      <c r="G19" s="38">
        <v>-32.654772999999999</v>
      </c>
      <c r="H19" s="38">
        <v>-32.654772999999999</v>
      </c>
      <c r="I19">
        <v>-32.654772999999999</v>
      </c>
      <c r="J19">
        <v>-32.654772999999999</v>
      </c>
      <c r="K19">
        <v>-28.699643000000002</v>
      </c>
      <c r="L19">
        <v>-32.654772999999999</v>
      </c>
    </row>
    <row r="20" spans="1:12" x14ac:dyDescent="0.25">
      <c r="A20" t="s">
        <v>105</v>
      </c>
      <c r="B20" s="38">
        <v>0.75037779999999998</v>
      </c>
      <c r="C20">
        <v>0.75037779999999998</v>
      </c>
      <c r="D20">
        <v>0.73194049999999999</v>
      </c>
      <c r="E20">
        <v>0.73194049999999999</v>
      </c>
      <c r="F20">
        <v>0.50472589999999995</v>
      </c>
      <c r="G20">
        <v>0.50472589999999995</v>
      </c>
      <c r="H20">
        <v>0.70673350000000001</v>
      </c>
      <c r="I20">
        <v>0.70673350000000001</v>
      </c>
      <c r="J20">
        <v>0.70673350000000001</v>
      </c>
      <c r="K20">
        <v>0.70673350000000001</v>
      </c>
      <c r="L20">
        <v>5.7026999999999998E-3</v>
      </c>
    </row>
    <row r="21" spans="1:12" x14ac:dyDescent="0.25">
      <c r="A21" t="s">
        <v>106</v>
      </c>
      <c r="B21" s="38">
        <v>0.24962199999999998</v>
      </c>
      <c r="C21">
        <v>0.24962199999999998</v>
      </c>
      <c r="D21">
        <v>0.24036349999999998</v>
      </c>
      <c r="E21">
        <v>0.24036349999999998</v>
      </c>
      <c r="F21">
        <v>0.16355539999999999</v>
      </c>
      <c r="G21">
        <v>0.16355539999999999</v>
      </c>
      <c r="H21">
        <v>0.22770559999999998</v>
      </c>
      <c r="I21">
        <v>0.22770559999999998</v>
      </c>
      <c r="J21">
        <v>0.22770559999999998</v>
      </c>
      <c r="K21">
        <v>0.22770559999999998</v>
      </c>
      <c r="L21">
        <v>5.084E-3</v>
      </c>
    </row>
    <row r="22" spans="1:12" x14ac:dyDescent="0.25">
      <c r="A22" t="s">
        <v>107</v>
      </c>
      <c r="B22" s="38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108</v>
      </c>
      <c r="B23" s="39">
        <v>9.5180000000000001E-11</v>
      </c>
      <c r="C23" s="37">
        <v>9.5249999999999994E-11</v>
      </c>
      <c r="D23" s="37">
        <v>1.1319999999999999E-10</v>
      </c>
      <c r="E23" s="37">
        <v>1.133E-10</v>
      </c>
      <c r="F23" s="37">
        <v>1.4760000000000001E-10</v>
      </c>
      <c r="G23" s="37">
        <v>1.4769999999999999E-10</v>
      </c>
      <c r="H23" s="37">
        <v>1.3699999999999999E-10</v>
      </c>
      <c r="I23" s="37">
        <v>1.3689999999999999E-10</v>
      </c>
      <c r="J23" s="37">
        <v>1.3699999999999999E-10</v>
      </c>
      <c r="K23" s="37">
        <v>1.371E-10</v>
      </c>
      <c r="L23" s="37">
        <v>1.7370000000000001E-10</v>
      </c>
    </row>
    <row r="24" spans="1:12" x14ac:dyDescent="0.25">
      <c r="A24" t="s">
        <v>109</v>
      </c>
      <c r="B24" s="38">
        <v>1.9999999999999999E-7</v>
      </c>
      <c r="C24">
        <v>1.9999999999999999E-7</v>
      </c>
      <c r="D24">
        <v>2.7695999999999998E-2</v>
      </c>
      <c r="E24">
        <v>2.7695999999999998E-2</v>
      </c>
      <c r="F24">
        <v>0.33171869999999998</v>
      </c>
      <c r="G24">
        <v>0.33171869999999998</v>
      </c>
      <c r="H24">
        <v>6.5560899999999991E-2</v>
      </c>
      <c r="I24">
        <v>6.5560899999999991E-2</v>
      </c>
      <c r="J24">
        <v>6.5560899999999991E-2</v>
      </c>
      <c r="K24">
        <v>6.5560899999999991E-2</v>
      </c>
      <c r="L24">
        <v>0.98921329999999996</v>
      </c>
    </row>
    <row r="26" spans="1:12" x14ac:dyDescent="0.25">
      <c r="A26" t="s">
        <v>10</v>
      </c>
    </row>
    <row r="27" spans="1:12" x14ac:dyDescent="0.25">
      <c r="A27" t="s">
        <v>104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</row>
    <row r="28" spans="1:12" x14ac:dyDescent="0.25">
      <c r="A28" t="s">
        <v>7</v>
      </c>
      <c r="B28" s="1">
        <f>ABS(B17-B6)/B6</f>
        <v>0</v>
      </c>
      <c r="C28" s="1">
        <f t="shared" ref="C28:L28" si="0">ABS(C17-C6)/C6</f>
        <v>1.3534147347811431E-16</v>
      </c>
      <c r="D28" s="1">
        <f t="shared" si="0"/>
        <v>1.3534147347811431E-16</v>
      </c>
      <c r="E28" s="1">
        <f t="shared" si="0"/>
        <v>1.4210854715202002E-16</v>
      </c>
      <c r="F28" s="1">
        <f t="shared" si="0"/>
        <v>1.4210854715202002E-16</v>
      </c>
      <c r="G28" s="1">
        <f t="shared" si="0"/>
        <v>1.4282266045429147E-16</v>
      </c>
      <c r="H28" s="1">
        <f t="shared" si="0"/>
        <v>1.4282266045429147E-16</v>
      </c>
      <c r="I28" s="1">
        <f t="shared" si="0"/>
        <v>1.4282266045429147E-16</v>
      </c>
      <c r="J28" s="1">
        <f t="shared" si="0"/>
        <v>1.4282266045429147E-16</v>
      </c>
      <c r="K28" s="1">
        <f t="shared" si="0"/>
        <v>1.3534147347811431E-16</v>
      </c>
      <c r="L28" s="1">
        <f t="shared" si="0"/>
        <v>1.4282266045429147E-16</v>
      </c>
    </row>
    <row r="29" spans="1:12" x14ac:dyDescent="0.25">
      <c r="A29" t="s">
        <v>5</v>
      </c>
      <c r="B29" s="1">
        <f t="shared" ref="B29:L29" si="1">ABS(B18-B7)/B7</f>
        <v>3.4324942791400601E-6</v>
      </c>
      <c r="C29" s="1">
        <f t="shared" si="1"/>
        <v>3.4324942791400601E-6</v>
      </c>
      <c r="D29" s="1">
        <f t="shared" si="1"/>
        <v>5.5952289106197803E-2</v>
      </c>
      <c r="E29" s="1">
        <f t="shared" si="1"/>
        <v>5.5952289106197803E-2</v>
      </c>
      <c r="F29" s="1">
        <f t="shared" si="1"/>
        <v>6.9700839846381035E-2</v>
      </c>
      <c r="G29" s="1">
        <f t="shared" si="1"/>
        <v>6.9700839846381035E-2</v>
      </c>
      <c r="H29" s="1">
        <f t="shared" si="1"/>
        <v>0.14341375863103303</v>
      </c>
      <c r="I29" s="1">
        <f t="shared" si="1"/>
        <v>0.14341378789911388</v>
      </c>
      <c r="J29" s="1">
        <f t="shared" si="1"/>
        <v>0.1434137503759334</v>
      </c>
      <c r="K29" s="1">
        <f t="shared" si="1"/>
        <v>0.1434137503759334</v>
      </c>
      <c r="L29" s="1">
        <f t="shared" si="1"/>
        <v>7.7251488219310299E-2</v>
      </c>
    </row>
    <row r="30" spans="1:12" x14ac:dyDescent="0.25">
      <c r="A30" t="s">
        <v>6</v>
      </c>
      <c r="B30" s="1">
        <f t="shared" ref="B30:L30" si="2">ABS(B19-B8)/B8</f>
        <v>2.7215833366994319E-2</v>
      </c>
      <c r="C30" s="1">
        <f t="shared" si="2"/>
        <v>6.147540983491247E-6</v>
      </c>
      <c r="D30" s="1">
        <f t="shared" si="2"/>
        <v>6.4259521507986542E-2</v>
      </c>
      <c r="E30" s="1">
        <f t="shared" si="2"/>
        <v>1.7312474999999949E-2</v>
      </c>
      <c r="F30" s="1">
        <f t="shared" si="2"/>
        <v>6.1415581223894108E-5</v>
      </c>
      <c r="G30" s="1">
        <f t="shared" si="2"/>
        <v>-6.9514622570025937E-6</v>
      </c>
      <c r="H30" s="1">
        <f t="shared" si="2"/>
        <v>-6.9514622570025937E-6</v>
      </c>
      <c r="I30" s="1">
        <f t="shared" si="2"/>
        <v>-6.9514622570025937E-6</v>
      </c>
      <c r="J30" s="1">
        <f t="shared" si="2"/>
        <v>-6.9514622570025937E-6</v>
      </c>
      <c r="K30" s="1">
        <f t="shared" si="2"/>
        <v>-1.4839211329623115E-3</v>
      </c>
      <c r="L30" s="1">
        <f t="shared" si="2"/>
        <v>-6.9514622570025937E-6</v>
      </c>
    </row>
    <row r="31" spans="1:12" x14ac:dyDescent="0.25">
      <c r="A31" t="s">
        <v>105</v>
      </c>
      <c r="B31" s="1">
        <f t="shared" ref="B31:L31" si="3">ABS(B20-B9)/B9</f>
        <v>2.6653233437780845E-7</v>
      </c>
      <c r="C31" s="1">
        <f t="shared" si="3"/>
        <v>2.6653233437780845E-7</v>
      </c>
      <c r="D31" s="1">
        <f t="shared" si="3"/>
        <v>2.5239797691437943E-2</v>
      </c>
      <c r="E31" s="1">
        <f t="shared" si="3"/>
        <v>2.5239797691437943E-2</v>
      </c>
      <c r="F31" s="1">
        <f t="shared" si="3"/>
        <v>4.2356251210556696E-3</v>
      </c>
      <c r="G31" s="1">
        <f t="shared" si="3"/>
        <v>4.2356251210556696E-3</v>
      </c>
      <c r="H31" s="1">
        <f t="shared" si="3"/>
        <v>5.9816956310545476E-2</v>
      </c>
      <c r="I31" s="1">
        <f t="shared" si="3"/>
        <v>5.9816956310545476E-2</v>
      </c>
      <c r="J31" s="1">
        <f t="shared" si="3"/>
        <v>5.9816956310545476E-2</v>
      </c>
      <c r="K31" s="1">
        <f t="shared" si="3"/>
        <v>5.9816956310545476E-2</v>
      </c>
      <c r="L31" s="1">
        <f t="shared" si="3"/>
        <v>1.9251802643728992E-2</v>
      </c>
    </row>
    <row r="32" spans="1:12" x14ac:dyDescent="0.25">
      <c r="A32" t="s">
        <v>106</v>
      </c>
      <c r="B32" s="1">
        <f t="shared" ref="B32:L32" si="4">ABS(B21-B10)/B10</f>
        <v>1.1119042238115595E-16</v>
      </c>
      <c r="C32" s="1">
        <f t="shared" si="4"/>
        <v>1.1119042238115595E-16</v>
      </c>
      <c r="D32" s="1">
        <f t="shared" si="4"/>
        <v>2.465199377038748E-2</v>
      </c>
      <c r="E32" s="1">
        <f t="shared" si="4"/>
        <v>2.465199377038748E-2</v>
      </c>
      <c r="F32" s="1">
        <f t="shared" si="4"/>
        <v>7.1493906845573494E-3</v>
      </c>
      <c r="G32" s="1">
        <f t="shared" si="4"/>
        <v>7.1493906845573494E-3</v>
      </c>
      <c r="H32" s="1">
        <f t="shared" si="4"/>
        <v>5.6973040127766536E-2</v>
      </c>
      <c r="I32" s="1">
        <f t="shared" si="4"/>
        <v>5.6973040127766536E-2</v>
      </c>
      <c r="J32" s="1">
        <f t="shared" si="4"/>
        <v>5.6973040127766536E-2</v>
      </c>
      <c r="K32" s="1">
        <f t="shared" si="4"/>
        <v>5.6973040127766536E-2</v>
      </c>
      <c r="L32" s="1">
        <f t="shared" si="4"/>
        <v>7.9720640088834768E-2</v>
      </c>
    </row>
    <row r="33" spans="1:12" x14ac:dyDescent="0.25">
      <c r="A33" t="s">
        <v>107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25">
      <c r="A34" t="s">
        <v>108</v>
      </c>
      <c r="B34" s="1">
        <f t="shared" ref="B34:L34" si="5">ABS(B23-B12)/B12</f>
        <v>5.7717057717057665E-2</v>
      </c>
      <c r="C34" s="1">
        <f t="shared" si="5"/>
        <v>5.7024057024057037E-2</v>
      </c>
      <c r="D34" s="1">
        <f t="shared" si="5"/>
        <v>0.49378983391231224</v>
      </c>
      <c r="E34" s="1">
        <f t="shared" si="5"/>
        <v>0.4933426517867931</v>
      </c>
      <c r="F34" s="1">
        <f t="shared" si="5"/>
        <v>0.50427092194265943</v>
      </c>
      <c r="G34" s="1">
        <f t="shared" si="5"/>
        <v>0.50393506213367756</v>
      </c>
      <c r="H34" s="1">
        <f t="shared" si="5"/>
        <v>0.67011409440094405</v>
      </c>
      <c r="I34" s="1">
        <f t="shared" si="5"/>
        <v>0.67035488703276813</v>
      </c>
      <c r="J34" s="1">
        <f t="shared" si="5"/>
        <v>0.67011409440094405</v>
      </c>
      <c r="K34" s="1">
        <f t="shared" si="5"/>
        <v>0.66987330176911997</v>
      </c>
      <c r="L34" s="1">
        <f t="shared" si="5"/>
        <v>1.7437045308526602</v>
      </c>
    </row>
    <row r="35" spans="1:12" x14ac:dyDescent="0.25">
      <c r="A35" t="s">
        <v>109</v>
      </c>
      <c r="B35" s="1">
        <v>0</v>
      </c>
      <c r="C35" s="1">
        <v>0</v>
      </c>
      <c r="D35" s="1">
        <f t="shared" ref="D35:L35" si="6">ABS(D24-D13)/D13</f>
        <v>9.3787381106414465</v>
      </c>
      <c r="E35" s="1">
        <f t="shared" si="6"/>
        <v>9.3787381106414465</v>
      </c>
      <c r="F35" s="1">
        <f t="shared" si="6"/>
        <v>9.8201480968256368E-3</v>
      </c>
      <c r="G35" s="1">
        <f t="shared" si="6"/>
        <v>9.8201480968256368E-3</v>
      </c>
      <c r="H35" s="1">
        <f t="shared" si="6"/>
        <v>8.5852395365128285</v>
      </c>
      <c r="I35" s="1">
        <f t="shared" si="6"/>
        <v>8.5852395365128285</v>
      </c>
      <c r="J35" s="1">
        <f t="shared" si="6"/>
        <v>8.5852395365128285</v>
      </c>
      <c r="K35" s="1">
        <f t="shared" si="6"/>
        <v>8.5852395365128285</v>
      </c>
      <c r="L35" s="1">
        <f t="shared" si="6"/>
        <v>2.6623386862747311E-4</v>
      </c>
    </row>
    <row r="37" spans="1:12" x14ac:dyDescent="0.25">
      <c r="A37" t="s">
        <v>112</v>
      </c>
    </row>
    <row r="38" spans="1:12" x14ac:dyDescent="0.25">
      <c r="B38" t="s">
        <v>156</v>
      </c>
      <c r="C38" t="s">
        <v>156</v>
      </c>
      <c r="D38" t="s">
        <v>156</v>
      </c>
      <c r="E38" t="s">
        <v>156</v>
      </c>
      <c r="F38" t="s">
        <v>156</v>
      </c>
      <c r="G38" t="s">
        <v>156</v>
      </c>
      <c r="H38" t="s">
        <v>156</v>
      </c>
    </row>
    <row r="39" spans="1:12" x14ac:dyDescent="0.25">
      <c r="A39" t="s">
        <v>155</v>
      </c>
      <c r="B39" t="s">
        <v>157</v>
      </c>
      <c r="C39" t="s">
        <v>158</v>
      </c>
      <c r="D39" t="s">
        <v>159</v>
      </c>
      <c r="E39" t="s">
        <v>160</v>
      </c>
      <c r="F39" t="s">
        <v>161</v>
      </c>
      <c r="G39" t="s">
        <v>162</v>
      </c>
      <c r="H39" t="s">
        <v>163</v>
      </c>
    </row>
    <row r="40" spans="1:12" x14ac:dyDescent="0.25">
      <c r="A40" t="s">
        <v>5</v>
      </c>
      <c r="B40" s="1">
        <v>3.4324942791400601E-6</v>
      </c>
      <c r="C40" s="1">
        <v>3.4324942791400601E-6</v>
      </c>
      <c r="D40" s="1">
        <v>5.5952289106197803E-2</v>
      </c>
      <c r="E40" s="1">
        <v>6.9700839846381035E-2</v>
      </c>
      <c r="F40" s="1">
        <v>0.1434137503759334</v>
      </c>
      <c r="G40" s="1">
        <v>0.1434137503759334</v>
      </c>
      <c r="H40" s="1">
        <v>7.7251488219310299E-2</v>
      </c>
    </row>
    <row r="41" spans="1:12" x14ac:dyDescent="0.25">
      <c r="A41" t="s">
        <v>6</v>
      </c>
      <c r="B41" s="1">
        <v>2.7215833366994319E-2</v>
      </c>
      <c r="C41" s="1">
        <v>6.147540983491247E-6</v>
      </c>
      <c r="D41" s="1">
        <v>6.4259521507986542E-2</v>
      </c>
      <c r="E41" s="1">
        <v>6.1415581223894108E-5</v>
      </c>
      <c r="F41" s="1">
        <v>-6.9514622570025937E-6</v>
      </c>
      <c r="G41" s="1">
        <v>-1.4839211329623115E-3</v>
      </c>
      <c r="H41" s="1">
        <v>-6.9514622570025937E-6</v>
      </c>
    </row>
    <row r="42" spans="1:12" x14ac:dyDescent="0.25">
      <c r="A42" t="s">
        <v>105</v>
      </c>
      <c r="B42" s="1">
        <v>2.6653233437780845E-7</v>
      </c>
      <c r="C42" s="1">
        <v>2.6653233437780845E-7</v>
      </c>
      <c r="D42" s="1">
        <v>2.5239797691437943E-2</v>
      </c>
      <c r="E42" s="1">
        <v>4.2356251210556696E-3</v>
      </c>
      <c r="F42" s="1">
        <v>5.9816956310545476E-2</v>
      </c>
      <c r="G42" s="1">
        <v>5.9816956310545476E-2</v>
      </c>
      <c r="H42" s="1">
        <v>1.9251802643728992E-2</v>
      </c>
    </row>
    <row r="43" spans="1:12" x14ac:dyDescent="0.25">
      <c r="A43" t="s">
        <v>106</v>
      </c>
      <c r="B43" s="1">
        <v>1.1119042238115595E-16</v>
      </c>
      <c r="C43" s="1">
        <v>1.1119042238115595E-16</v>
      </c>
      <c r="D43" s="1">
        <v>2.465199377038748E-2</v>
      </c>
      <c r="E43" s="1">
        <v>7.1493906845573494E-3</v>
      </c>
      <c r="F43" s="1">
        <v>5.6973040127766536E-2</v>
      </c>
      <c r="G43" s="1">
        <v>5.6973040127766536E-2</v>
      </c>
      <c r="H43" s="1">
        <v>7.9720640088834768E-2</v>
      </c>
    </row>
    <row r="44" spans="1:12" x14ac:dyDescent="0.25">
      <c r="A44" t="s">
        <v>109</v>
      </c>
      <c r="B44" s="1">
        <v>0</v>
      </c>
      <c r="C44" s="1">
        <v>0</v>
      </c>
      <c r="D44" s="1">
        <v>9.3787381106414465</v>
      </c>
      <c r="E44" s="1">
        <v>9.8201480968256368E-3</v>
      </c>
      <c r="F44" s="1">
        <v>8.5852395365128285</v>
      </c>
      <c r="G44" s="1">
        <v>8.5852395365128285</v>
      </c>
      <c r="H44" s="1">
        <v>2.6623386862747311E-4</v>
      </c>
    </row>
    <row r="47" spans="1:12" x14ac:dyDescent="0.25">
      <c r="A47" t="s">
        <v>104</v>
      </c>
      <c r="B47">
        <v>1</v>
      </c>
      <c r="C47">
        <v>2</v>
      </c>
      <c r="D47">
        <v>3</v>
      </c>
      <c r="E47">
        <v>5</v>
      </c>
      <c r="F47">
        <v>9</v>
      </c>
      <c r="G47">
        <v>10</v>
      </c>
      <c r="H47">
        <v>11</v>
      </c>
    </row>
    <row r="48" spans="1:12" x14ac:dyDescent="0.25">
      <c r="A48" t="s">
        <v>5</v>
      </c>
      <c r="B48" s="1">
        <v>3.4324942791400601E-6</v>
      </c>
      <c r="C48" s="1">
        <v>3.4324942791400601E-6</v>
      </c>
      <c r="D48" s="1">
        <v>5.5952289106197803E-2</v>
      </c>
      <c r="E48" s="1">
        <v>6.9700839846381035E-2</v>
      </c>
      <c r="F48" s="1">
        <v>0.1434137503759334</v>
      </c>
      <c r="G48" s="1">
        <v>0.1434137503759334</v>
      </c>
      <c r="H48" s="1">
        <v>7.7251488219310299E-2</v>
      </c>
    </row>
    <row r="49" spans="1:8" x14ac:dyDescent="0.25">
      <c r="A49" t="s">
        <v>6</v>
      </c>
      <c r="B49" s="1">
        <v>2.7215833366994319E-2</v>
      </c>
      <c r="C49" s="1">
        <v>6.147540983491247E-6</v>
      </c>
      <c r="D49" s="1">
        <v>6.4259521507986542E-2</v>
      </c>
      <c r="E49" s="1">
        <v>6.1415581223894108E-5</v>
      </c>
      <c r="F49" s="1">
        <v>-6.9514622570025937E-6</v>
      </c>
      <c r="G49" s="1">
        <v>-1.4839211329623115E-3</v>
      </c>
      <c r="H49" s="1">
        <v>-6.9514622570025937E-6</v>
      </c>
    </row>
    <row r="50" spans="1:8" x14ac:dyDescent="0.25">
      <c r="A50" t="s">
        <v>105</v>
      </c>
      <c r="B50" s="1">
        <v>2.6653233437780845E-7</v>
      </c>
      <c r="C50" s="1">
        <v>2.6653233437780845E-7</v>
      </c>
      <c r="D50" s="1">
        <v>2.5239797691437943E-2</v>
      </c>
      <c r="E50" s="1">
        <v>4.2356251210556696E-3</v>
      </c>
      <c r="F50" s="1">
        <v>5.9816956310545476E-2</v>
      </c>
      <c r="G50" s="1">
        <v>5.9816956310545476E-2</v>
      </c>
      <c r="H50" s="1">
        <v>1.9251802643728992E-2</v>
      </c>
    </row>
    <row r="51" spans="1:8" x14ac:dyDescent="0.25">
      <c r="A51" t="s">
        <v>106</v>
      </c>
      <c r="B51" s="1">
        <v>1.1119042238115595E-16</v>
      </c>
      <c r="C51" s="1">
        <v>1.1119042238115595E-16</v>
      </c>
      <c r="D51" s="1">
        <v>2.465199377038748E-2</v>
      </c>
      <c r="E51" s="1">
        <v>7.1493906845573494E-3</v>
      </c>
      <c r="F51" s="1">
        <v>5.6973040127766536E-2</v>
      </c>
      <c r="G51" s="1">
        <v>5.6973040127766536E-2</v>
      </c>
      <c r="H51" s="1">
        <v>7.9720640088834768E-2</v>
      </c>
    </row>
    <row r="52" spans="1:8" x14ac:dyDescent="0.25">
      <c r="A52" t="s">
        <v>109</v>
      </c>
      <c r="B52" s="1">
        <v>0</v>
      </c>
      <c r="C52" s="1">
        <v>0</v>
      </c>
      <c r="D52" s="1">
        <v>9.3787381106414465</v>
      </c>
      <c r="E52" s="1">
        <v>9.8201480968256368E-3</v>
      </c>
      <c r="F52" s="1">
        <v>8.5852395365128285</v>
      </c>
      <c r="G52" s="1">
        <v>8.5852395365128285</v>
      </c>
      <c r="H52" s="1">
        <v>2.6623386862747311E-4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L11"/>
  <sheetViews>
    <sheetView workbookViewId="0">
      <selection activeCell="A3" sqref="A3:L11"/>
    </sheetView>
  </sheetViews>
  <sheetFormatPr defaultRowHeight="15" x14ac:dyDescent="0.25"/>
  <sheetData>
    <row r="1" spans="1:12" x14ac:dyDescent="0.25">
      <c r="A1" t="s">
        <v>103</v>
      </c>
    </row>
    <row r="3" spans="1:12" x14ac:dyDescent="0.25">
      <c r="A3" t="s">
        <v>104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</row>
    <row r="4" spans="1:12" x14ac:dyDescent="0.25">
      <c r="A4" t="s">
        <v>7</v>
      </c>
      <c r="B4">
        <v>10</v>
      </c>
      <c r="C4">
        <v>210.00000000000003</v>
      </c>
      <c r="D4">
        <v>210.00000000000003</v>
      </c>
      <c r="E4">
        <v>200.00000000000003</v>
      </c>
      <c r="F4">
        <v>200.00000000000003</v>
      </c>
      <c r="G4">
        <v>199.00000000000003</v>
      </c>
      <c r="H4">
        <v>199.00000000000003</v>
      </c>
      <c r="I4">
        <v>199.00000000000003</v>
      </c>
      <c r="J4">
        <v>199.00000000000003</v>
      </c>
      <c r="K4">
        <v>210.00000000000003</v>
      </c>
      <c r="L4">
        <v>199.00000000000003</v>
      </c>
    </row>
    <row r="5" spans="1:12" x14ac:dyDescent="0.25">
      <c r="A5" t="s">
        <v>5</v>
      </c>
      <c r="B5">
        <v>907</v>
      </c>
      <c r="C5">
        <v>907</v>
      </c>
      <c r="D5">
        <v>1565.8704625762514</v>
      </c>
      <c r="E5">
        <v>1565.8704625762514</v>
      </c>
      <c r="F5">
        <v>1208.3985251115282</v>
      </c>
      <c r="G5">
        <v>1208.3985251115282</v>
      </c>
      <c r="H5">
        <v>844.70572125160436</v>
      </c>
      <c r="I5">
        <v>185.83525867535292</v>
      </c>
      <c r="J5">
        <v>658.87046257625127</v>
      </c>
      <c r="K5">
        <v>658.87046257625127</v>
      </c>
      <c r="L5">
        <v>363.69280385992374</v>
      </c>
    </row>
    <row r="6" spans="1:12" x14ac:dyDescent="0.25">
      <c r="A6" t="s">
        <v>6</v>
      </c>
      <c r="B6">
        <v>27</v>
      </c>
      <c r="C6">
        <v>453.92918990402416</v>
      </c>
      <c r="D6">
        <v>252.26165109583951</v>
      </c>
      <c r="E6">
        <v>410</v>
      </c>
      <c r="F6">
        <v>410</v>
      </c>
      <c r="G6">
        <v>-34</v>
      </c>
      <c r="H6">
        <v>-34</v>
      </c>
      <c r="I6">
        <v>-34</v>
      </c>
      <c r="J6">
        <v>-34</v>
      </c>
      <c r="K6">
        <v>-30.027810128725974</v>
      </c>
      <c r="L6">
        <v>-34</v>
      </c>
    </row>
    <row r="7" spans="1:12" x14ac:dyDescent="0.25">
      <c r="A7" t="s">
        <v>105</v>
      </c>
      <c r="B7">
        <v>0.74</v>
      </c>
      <c r="C7">
        <v>0.74</v>
      </c>
      <c r="D7">
        <v>0.72929755421648146</v>
      </c>
      <c r="E7">
        <v>0.72929755421648146</v>
      </c>
      <c r="F7">
        <v>0.50130613352386866</v>
      </c>
      <c r="G7">
        <v>0.50130613352386866</v>
      </c>
      <c r="H7">
        <v>0.71456458487422936</v>
      </c>
      <c r="I7">
        <v>0.71456458487422936</v>
      </c>
      <c r="J7">
        <v>0.71456458487422936</v>
      </c>
      <c r="K7">
        <v>0.71456458487422936</v>
      </c>
      <c r="L7">
        <v>5.9962674801961281E-3</v>
      </c>
    </row>
    <row r="8" spans="1:12" x14ac:dyDescent="0.25">
      <c r="A8" t="s">
        <v>106</v>
      </c>
      <c r="B8">
        <v>0.24</v>
      </c>
      <c r="C8">
        <v>0.24</v>
      </c>
      <c r="D8">
        <v>0.22373461408881878</v>
      </c>
      <c r="E8">
        <v>0.22373461408881878</v>
      </c>
      <c r="F8">
        <v>0.14200899070890385</v>
      </c>
      <c r="G8">
        <v>0.14200899070890385</v>
      </c>
      <c r="H8">
        <v>0.20134371047514515</v>
      </c>
      <c r="I8">
        <v>0.20134371047514515</v>
      </c>
      <c r="J8">
        <v>0.20134371047514515</v>
      </c>
      <c r="K8">
        <v>0.20134371047514515</v>
      </c>
      <c r="L8">
        <v>4.1993427767205924E-3</v>
      </c>
    </row>
    <row r="9" spans="1:12" x14ac:dyDescent="0.25">
      <c r="A9" t="s">
        <v>107</v>
      </c>
      <c r="B9">
        <v>0.01</v>
      </c>
      <c r="C9">
        <v>0.01</v>
      </c>
      <c r="D9">
        <v>2.2916226621380594E-2</v>
      </c>
      <c r="E9">
        <v>2.2916226621380594E-2</v>
      </c>
      <c r="F9">
        <v>2.969537088504106E-2</v>
      </c>
      <c r="G9">
        <v>2.969537088504106E-2</v>
      </c>
      <c r="H9">
        <v>4.0696683040363571E-2</v>
      </c>
      <c r="I9">
        <v>4.0696683040363571E-2</v>
      </c>
      <c r="J9">
        <v>4.0696683040363571E-2</v>
      </c>
      <c r="K9">
        <v>4.0696683040363571E-2</v>
      </c>
      <c r="L9">
        <v>4.1439406113343187E-3</v>
      </c>
    </row>
    <row r="10" spans="1:12" x14ac:dyDescent="0.25">
      <c r="A10" t="s">
        <v>108</v>
      </c>
      <c r="B10">
        <v>0.01</v>
      </c>
      <c r="C10">
        <v>0.01</v>
      </c>
      <c r="D10">
        <v>2.1403675387884805E-2</v>
      </c>
      <c r="E10">
        <v>2.1403675387884805E-2</v>
      </c>
      <c r="F10">
        <v>2.7735372382522414E-2</v>
      </c>
      <c r="G10">
        <v>2.7735372382522418E-2</v>
      </c>
      <c r="H10">
        <v>3.7101956255369425E-2</v>
      </c>
      <c r="I10">
        <v>3.7101956255369425E-2</v>
      </c>
      <c r="J10">
        <v>3.7101956255369425E-2</v>
      </c>
      <c r="K10">
        <v>3.7101956255369425E-2</v>
      </c>
      <c r="L10">
        <v>5.9807297225478043E-3</v>
      </c>
    </row>
    <row r="11" spans="1:12" x14ac:dyDescent="0.25">
      <c r="A11" t="s">
        <v>109</v>
      </c>
      <c r="B11">
        <v>0</v>
      </c>
      <c r="C11">
        <v>0</v>
      </c>
      <c r="D11">
        <v>2.6479296854344664E-3</v>
      </c>
      <c r="E11">
        <v>2.6479296854344664E-3</v>
      </c>
      <c r="F11">
        <v>0.29925413249966398</v>
      </c>
      <c r="G11">
        <v>0.29925413249966398</v>
      </c>
      <c r="H11">
        <v>6.2930653548925802E-3</v>
      </c>
      <c r="I11">
        <v>6.2930653548925811E-3</v>
      </c>
      <c r="J11">
        <v>6.2930653548925802E-3</v>
      </c>
      <c r="K11">
        <v>6.2930653548925802E-3</v>
      </c>
      <c r="L11">
        <v>0.97967971940920129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32"/>
  <sheetViews>
    <sheetView topLeftCell="A15" workbookViewId="0">
      <selection activeCell="A32" sqref="A32"/>
    </sheetView>
  </sheetViews>
  <sheetFormatPr defaultRowHeight="15" x14ac:dyDescent="0.25"/>
  <cols>
    <col min="1" max="1" width="21.5703125" customWidth="1"/>
    <col min="2" max="2" width="20" bestFit="1" customWidth="1"/>
    <col min="3" max="3" width="20.140625" customWidth="1"/>
    <col min="4" max="4" width="18" bestFit="1" customWidth="1"/>
    <col min="5" max="5" width="12.5703125" bestFit="1" customWidth="1"/>
    <col min="6" max="6" width="23.140625" customWidth="1"/>
    <col min="7" max="7" width="22.5703125" customWidth="1"/>
  </cols>
  <sheetData>
    <row r="1" spans="1:10" x14ac:dyDescent="0.25">
      <c r="A1" t="s">
        <v>129</v>
      </c>
    </row>
    <row r="2" spans="1:10" x14ac:dyDescent="0.25">
      <c r="B2" s="43" t="s">
        <v>117</v>
      </c>
      <c r="C2" s="43"/>
      <c r="D2" s="43" t="s">
        <v>116</v>
      </c>
      <c r="E2" s="43"/>
      <c r="F2" s="43" t="s">
        <v>130</v>
      </c>
      <c r="G2" s="43"/>
    </row>
    <row r="3" spans="1:10" x14ac:dyDescent="0.25">
      <c r="B3" t="s">
        <v>125</v>
      </c>
      <c r="C3" t="s">
        <v>126</v>
      </c>
      <c r="D3" t="s">
        <v>127</v>
      </c>
      <c r="E3" t="s">
        <v>150</v>
      </c>
      <c r="F3" t="s">
        <v>148</v>
      </c>
      <c r="G3" t="s">
        <v>149</v>
      </c>
    </row>
    <row r="4" spans="1:10" x14ac:dyDescent="0.25">
      <c r="A4" s="41" t="s">
        <v>122</v>
      </c>
      <c r="B4" s="42">
        <v>-2.9904494224162995E-3</v>
      </c>
      <c r="C4" s="42">
        <v>2.8178013543003312E-3</v>
      </c>
      <c r="D4" s="42">
        <v>2.0662531892132484E-2</v>
      </c>
      <c r="E4" s="42">
        <v>2.0662531892132484E-2</v>
      </c>
      <c r="F4" s="42">
        <v>1.0367499826413858E-2</v>
      </c>
      <c r="G4" s="42">
        <v>1.1019757841901123E-2</v>
      </c>
    </row>
    <row r="5" spans="1:10" x14ac:dyDescent="0.25">
      <c r="A5" s="41" t="s">
        <v>121</v>
      </c>
      <c r="B5" s="42">
        <v>-3.3665136031496706E-3</v>
      </c>
      <c r="C5" s="42">
        <v>3.1737366859504938E-3</v>
      </c>
      <c r="D5" s="42">
        <v>1.8758105733869487E-2</v>
      </c>
      <c r="E5" s="42">
        <v>1.8758105733869487E-2</v>
      </c>
      <c r="F5" s="42">
        <v>3.7481760965283055E-3</v>
      </c>
      <c r="G5" s="42">
        <v>3.9178680167092101E-3</v>
      </c>
    </row>
    <row r="6" spans="1:10" x14ac:dyDescent="0.25">
      <c r="A6" s="41" t="s">
        <v>120</v>
      </c>
      <c r="B6" s="42">
        <v>-2.367592499838304E-3</v>
      </c>
      <c r="C6" s="42">
        <v>2.2300055409168128E-3</v>
      </c>
      <c r="D6" s="42">
        <v>1.9700311242003749E-2</v>
      </c>
      <c r="E6" s="42">
        <v>1.9700311242003749E-2</v>
      </c>
      <c r="F6" s="42">
        <v>6.9849752407012211E-5</v>
      </c>
      <c r="G6" s="42">
        <v>8.1364154517777739E-5</v>
      </c>
    </row>
    <row r="7" spans="1:10" x14ac:dyDescent="0.25">
      <c r="A7" s="41" t="s">
        <v>123</v>
      </c>
      <c r="B7" s="42">
        <v>-2.8567488881890298E-3</v>
      </c>
      <c r="C7" s="42">
        <v>2.6922481332711011E-3</v>
      </c>
      <c r="D7" s="42">
        <v>1.7994345648640178E-2</v>
      </c>
      <c r="E7" s="42">
        <v>1.7994345648640178E-2</v>
      </c>
      <c r="F7" s="42">
        <v>8.7367423644724436E-5</v>
      </c>
      <c r="G7" s="42">
        <v>9.4669656474064519E-5</v>
      </c>
    </row>
    <row r="8" spans="1:10" x14ac:dyDescent="0.25">
      <c r="A8" s="41" t="s">
        <v>124</v>
      </c>
      <c r="B8" s="42">
        <v>7.4081563980355457E-5</v>
      </c>
      <c r="C8" s="42">
        <v>-6.808850856859593E-5</v>
      </c>
      <c r="D8" s="42">
        <v>1.8571492299770485E-2</v>
      </c>
      <c r="E8" s="42">
        <v>1.8571492299770485E-2</v>
      </c>
      <c r="F8" s="42">
        <v>2.0980121192243344E-2</v>
      </c>
      <c r="G8" s="42">
        <v>2.7581454537897579E-2</v>
      </c>
    </row>
    <row r="10" spans="1:10" x14ac:dyDescent="0.25">
      <c r="A10" s="41" t="s">
        <v>131</v>
      </c>
    </row>
    <row r="11" spans="1:10" x14ac:dyDescent="0.25">
      <c r="B11" s="41" t="s">
        <v>37</v>
      </c>
      <c r="G11" t="s">
        <v>38</v>
      </c>
    </row>
    <row r="12" spans="1:10" x14ac:dyDescent="0.25">
      <c r="B12" s="43" t="s">
        <v>137</v>
      </c>
      <c r="C12" s="43"/>
      <c r="D12" t="s">
        <v>138</v>
      </c>
      <c r="E12" s="43" t="s">
        <v>139</v>
      </c>
      <c r="F12" s="43"/>
      <c r="G12" s="43" t="s">
        <v>137</v>
      </c>
      <c r="H12" s="43"/>
      <c r="I12" s="43" t="s">
        <v>139</v>
      </c>
      <c r="J12" s="43"/>
    </row>
    <row r="13" spans="1:10" x14ac:dyDescent="0.25">
      <c r="B13" t="s">
        <v>132</v>
      </c>
      <c r="C13" t="s">
        <v>135</v>
      </c>
      <c r="D13" t="s">
        <v>136</v>
      </c>
      <c r="E13" t="s">
        <v>44</v>
      </c>
      <c r="F13" t="s">
        <v>45</v>
      </c>
      <c r="G13" t="s">
        <v>132</v>
      </c>
      <c r="H13" t="s">
        <v>133</v>
      </c>
      <c r="I13" t="s">
        <v>44</v>
      </c>
      <c r="J13" t="s">
        <v>45</v>
      </c>
    </row>
    <row r="14" spans="1:10" x14ac:dyDescent="0.25">
      <c r="A14" t="s">
        <v>134</v>
      </c>
      <c r="B14" s="2">
        <v>2.092000907701952E-4</v>
      </c>
      <c r="C14" s="2">
        <v>1.9661683510032796E-4</v>
      </c>
      <c r="D14" s="2">
        <v>-2.1810010574550781E-3</v>
      </c>
      <c r="E14" s="2">
        <v>1.7623862710109489E-2</v>
      </c>
      <c r="F14" s="2">
        <v>1.7689952195272463E-2</v>
      </c>
      <c r="G14" s="42">
        <v>6.8895406124802397E-2</v>
      </c>
      <c r="H14" s="2">
        <v>4.0033827455843198E-3</v>
      </c>
      <c r="I14" s="2">
        <v>0</v>
      </c>
      <c r="J14" s="2">
        <v>0</v>
      </c>
    </row>
    <row r="17" spans="1:5" x14ac:dyDescent="0.25">
      <c r="A17" t="s">
        <v>141</v>
      </c>
    </row>
    <row r="20" spans="1:5" x14ac:dyDescent="0.25">
      <c r="A20" t="s">
        <v>134</v>
      </c>
    </row>
    <row r="21" spans="1:5" x14ac:dyDescent="0.25">
      <c r="B21" t="s">
        <v>138</v>
      </c>
      <c r="D21" s="12" t="s">
        <v>139</v>
      </c>
    </row>
    <row r="22" spans="1:5" x14ac:dyDescent="0.25">
      <c r="B22" t="s">
        <v>143</v>
      </c>
      <c r="C22" t="s">
        <v>144</v>
      </c>
      <c r="D22" t="s">
        <v>142</v>
      </c>
    </row>
    <row r="23" spans="1:5" x14ac:dyDescent="0.25">
      <c r="A23" t="s">
        <v>134</v>
      </c>
      <c r="B23" s="2">
        <v>9.3177451860451295E-3</v>
      </c>
      <c r="C23" s="2">
        <v>-2.7743234939364304E-3</v>
      </c>
      <c r="D23" s="2">
        <v>1.9698055730479812E-4</v>
      </c>
    </row>
    <row r="25" spans="1:5" x14ac:dyDescent="0.25">
      <c r="A25" t="s">
        <v>145</v>
      </c>
    </row>
    <row r="27" spans="1:5" x14ac:dyDescent="0.25">
      <c r="A27" t="s">
        <v>146</v>
      </c>
      <c r="B27" s="42">
        <v>3.4726811683874301E-2</v>
      </c>
    </row>
    <row r="29" spans="1:5" x14ac:dyDescent="0.25">
      <c r="A29" t="s">
        <v>147</v>
      </c>
    </row>
    <row r="30" spans="1:5" x14ac:dyDescent="0.25">
      <c r="B30" t="s">
        <v>60</v>
      </c>
      <c r="C30" t="s">
        <v>60</v>
      </c>
      <c r="D30" t="s">
        <v>60</v>
      </c>
      <c r="E30" t="s">
        <v>60</v>
      </c>
    </row>
    <row r="31" spans="1:5" x14ac:dyDescent="0.25">
      <c r="B31" t="s">
        <v>151</v>
      </c>
      <c r="C31" t="s">
        <v>152</v>
      </c>
      <c r="D31" t="s">
        <v>153</v>
      </c>
      <c r="E31" t="s">
        <v>154</v>
      </c>
    </row>
    <row r="32" spans="1:5" x14ac:dyDescent="0.25">
      <c r="A32" t="s">
        <v>164</v>
      </c>
      <c r="B32" s="2">
        <v>9.5890299411673601E-5</v>
      </c>
      <c r="C32" s="2">
        <v>8.3988404566889493E-5</v>
      </c>
      <c r="D32" s="2">
        <v>3.1856986790196302E-4</v>
      </c>
      <c r="E32" s="2">
        <v>2.8929754478061688E-4</v>
      </c>
    </row>
  </sheetData>
  <mergeCells count="7">
    <mergeCell ref="I12:J12"/>
    <mergeCell ref="B2:C2"/>
    <mergeCell ref="D2:E2"/>
    <mergeCell ref="F2:G2"/>
    <mergeCell ref="B12:C12"/>
    <mergeCell ref="G12:H12"/>
    <mergeCell ref="E12:F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47"/>
  <sheetViews>
    <sheetView topLeftCell="N24" zoomScaleNormal="100" workbookViewId="0">
      <selection activeCell="Q46" activeCellId="4" sqref="Q26 Q31 Q36 Q41 Q46"/>
    </sheetView>
  </sheetViews>
  <sheetFormatPr defaultRowHeight="15" x14ac:dyDescent="0.25"/>
  <cols>
    <col min="1" max="1" width="14.85546875" customWidth="1"/>
    <col min="2" max="2" width="22.5703125" bestFit="1" customWidth="1"/>
    <col min="3" max="5" width="18.28515625" bestFit="1" customWidth="1"/>
    <col min="6" max="11" width="18.7109375" bestFit="1" customWidth="1"/>
    <col min="12" max="12" width="19" customWidth="1"/>
    <col min="13" max="13" width="15.7109375" bestFit="1" customWidth="1"/>
    <col min="14" max="14" width="19.42578125" bestFit="1" customWidth="1"/>
    <col min="15" max="15" width="18.7109375" bestFit="1" customWidth="1"/>
    <col min="16" max="18" width="18.28515625" bestFit="1" customWidth="1"/>
    <col min="19" max="24" width="18.7109375" bestFit="1" customWidth="1"/>
    <col min="27" max="27" width="15.28515625" customWidth="1"/>
    <col min="28" max="28" width="14.7109375" bestFit="1" customWidth="1"/>
    <col min="29" max="31" width="13.7109375" bestFit="1" customWidth="1"/>
    <col min="258" max="258" width="33" customWidth="1"/>
    <col min="262" max="262" width="9.5703125" bestFit="1" customWidth="1"/>
    <col min="266" max="266" width="19.42578125" bestFit="1" customWidth="1"/>
    <col min="268" max="268" width="15.7109375" bestFit="1" customWidth="1"/>
    <col min="270" max="270" width="19.42578125" bestFit="1" customWidth="1"/>
    <col min="271" max="271" width="18.7109375" bestFit="1" customWidth="1"/>
    <col min="272" max="274" width="18.28515625" bestFit="1" customWidth="1"/>
    <col min="275" max="280" width="18.7109375" bestFit="1" customWidth="1"/>
    <col min="283" max="283" width="15.28515625" customWidth="1"/>
    <col min="284" max="284" width="14.7109375" bestFit="1" customWidth="1"/>
    <col min="285" max="287" width="13.7109375" bestFit="1" customWidth="1"/>
    <col min="514" max="514" width="33" customWidth="1"/>
    <col min="518" max="518" width="9.5703125" bestFit="1" customWidth="1"/>
    <col min="522" max="522" width="19.42578125" bestFit="1" customWidth="1"/>
    <col min="524" max="524" width="15.7109375" bestFit="1" customWidth="1"/>
    <col min="526" max="526" width="19.42578125" bestFit="1" customWidth="1"/>
    <col min="527" max="527" width="18.7109375" bestFit="1" customWidth="1"/>
    <col min="528" max="530" width="18.28515625" bestFit="1" customWidth="1"/>
    <col min="531" max="536" width="18.7109375" bestFit="1" customWidth="1"/>
    <col min="539" max="539" width="15.28515625" customWidth="1"/>
    <col min="540" max="540" width="14.7109375" bestFit="1" customWidth="1"/>
    <col min="541" max="543" width="13.7109375" bestFit="1" customWidth="1"/>
    <col min="770" max="770" width="33" customWidth="1"/>
    <col min="774" max="774" width="9.5703125" bestFit="1" customWidth="1"/>
    <col min="778" max="778" width="19.42578125" bestFit="1" customWidth="1"/>
    <col min="780" max="780" width="15.7109375" bestFit="1" customWidth="1"/>
    <col min="782" max="782" width="19.42578125" bestFit="1" customWidth="1"/>
    <col min="783" max="783" width="18.7109375" bestFit="1" customWidth="1"/>
    <col min="784" max="786" width="18.28515625" bestFit="1" customWidth="1"/>
    <col min="787" max="792" width="18.7109375" bestFit="1" customWidth="1"/>
    <col min="795" max="795" width="15.28515625" customWidth="1"/>
    <col min="796" max="796" width="14.7109375" bestFit="1" customWidth="1"/>
    <col min="797" max="799" width="13.7109375" bestFit="1" customWidth="1"/>
    <col min="1026" max="1026" width="33" customWidth="1"/>
    <col min="1030" max="1030" width="9.5703125" bestFit="1" customWidth="1"/>
    <col min="1034" max="1034" width="19.42578125" bestFit="1" customWidth="1"/>
    <col min="1036" max="1036" width="15.7109375" bestFit="1" customWidth="1"/>
    <col min="1038" max="1038" width="19.42578125" bestFit="1" customWidth="1"/>
    <col min="1039" max="1039" width="18.7109375" bestFit="1" customWidth="1"/>
    <col min="1040" max="1042" width="18.28515625" bestFit="1" customWidth="1"/>
    <col min="1043" max="1048" width="18.7109375" bestFit="1" customWidth="1"/>
    <col min="1051" max="1051" width="15.28515625" customWidth="1"/>
    <col min="1052" max="1052" width="14.7109375" bestFit="1" customWidth="1"/>
    <col min="1053" max="1055" width="13.7109375" bestFit="1" customWidth="1"/>
    <col min="1282" max="1282" width="33" customWidth="1"/>
    <col min="1286" max="1286" width="9.5703125" bestFit="1" customWidth="1"/>
    <col min="1290" max="1290" width="19.42578125" bestFit="1" customWidth="1"/>
    <col min="1292" max="1292" width="15.7109375" bestFit="1" customWidth="1"/>
    <col min="1294" max="1294" width="19.42578125" bestFit="1" customWidth="1"/>
    <col min="1295" max="1295" width="18.7109375" bestFit="1" customWidth="1"/>
    <col min="1296" max="1298" width="18.28515625" bestFit="1" customWidth="1"/>
    <col min="1299" max="1304" width="18.7109375" bestFit="1" customWidth="1"/>
    <col min="1307" max="1307" width="15.28515625" customWidth="1"/>
    <col min="1308" max="1308" width="14.7109375" bestFit="1" customWidth="1"/>
    <col min="1309" max="1311" width="13.7109375" bestFit="1" customWidth="1"/>
    <col min="1538" max="1538" width="33" customWidth="1"/>
    <col min="1542" max="1542" width="9.5703125" bestFit="1" customWidth="1"/>
    <col min="1546" max="1546" width="19.42578125" bestFit="1" customWidth="1"/>
    <col min="1548" max="1548" width="15.7109375" bestFit="1" customWidth="1"/>
    <col min="1550" max="1550" width="19.42578125" bestFit="1" customWidth="1"/>
    <col min="1551" max="1551" width="18.7109375" bestFit="1" customWidth="1"/>
    <col min="1552" max="1554" width="18.28515625" bestFit="1" customWidth="1"/>
    <col min="1555" max="1560" width="18.7109375" bestFit="1" customWidth="1"/>
    <col min="1563" max="1563" width="15.28515625" customWidth="1"/>
    <col min="1564" max="1564" width="14.7109375" bestFit="1" customWidth="1"/>
    <col min="1565" max="1567" width="13.7109375" bestFit="1" customWidth="1"/>
    <col min="1794" max="1794" width="33" customWidth="1"/>
    <col min="1798" max="1798" width="9.5703125" bestFit="1" customWidth="1"/>
    <col min="1802" max="1802" width="19.42578125" bestFit="1" customWidth="1"/>
    <col min="1804" max="1804" width="15.7109375" bestFit="1" customWidth="1"/>
    <col min="1806" max="1806" width="19.42578125" bestFit="1" customWidth="1"/>
    <col min="1807" max="1807" width="18.7109375" bestFit="1" customWidth="1"/>
    <col min="1808" max="1810" width="18.28515625" bestFit="1" customWidth="1"/>
    <col min="1811" max="1816" width="18.7109375" bestFit="1" customWidth="1"/>
    <col min="1819" max="1819" width="15.28515625" customWidth="1"/>
    <col min="1820" max="1820" width="14.7109375" bestFit="1" customWidth="1"/>
    <col min="1821" max="1823" width="13.7109375" bestFit="1" customWidth="1"/>
    <col min="2050" max="2050" width="33" customWidth="1"/>
    <col min="2054" max="2054" width="9.5703125" bestFit="1" customWidth="1"/>
    <col min="2058" max="2058" width="19.42578125" bestFit="1" customWidth="1"/>
    <col min="2060" max="2060" width="15.7109375" bestFit="1" customWidth="1"/>
    <col min="2062" max="2062" width="19.42578125" bestFit="1" customWidth="1"/>
    <col min="2063" max="2063" width="18.7109375" bestFit="1" customWidth="1"/>
    <col min="2064" max="2066" width="18.28515625" bestFit="1" customWidth="1"/>
    <col min="2067" max="2072" width="18.7109375" bestFit="1" customWidth="1"/>
    <col min="2075" max="2075" width="15.28515625" customWidth="1"/>
    <col min="2076" max="2076" width="14.7109375" bestFit="1" customWidth="1"/>
    <col min="2077" max="2079" width="13.7109375" bestFit="1" customWidth="1"/>
    <col min="2306" max="2306" width="33" customWidth="1"/>
    <col min="2310" max="2310" width="9.5703125" bestFit="1" customWidth="1"/>
    <col min="2314" max="2314" width="19.42578125" bestFit="1" customWidth="1"/>
    <col min="2316" max="2316" width="15.7109375" bestFit="1" customWidth="1"/>
    <col min="2318" max="2318" width="19.42578125" bestFit="1" customWidth="1"/>
    <col min="2319" max="2319" width="18.7109375" bestFit="1" customWidth="1"/>
    <col min="2320" max="2322" width="18.28515625" bestFit="1" customWidth="1"/>
    <col min="2323" max="2328" width="18.7109375" bestFit="1" customWidth="1"/>
    <col min="2331" max="2331" width="15.28515625" customWidth="1"/>
    <col min="2332" max="2332" width="14.7109375" bestFit="1" customWidth="1"/>
    <col min="2333" max="2335" width="13.7109375" bestFit="1" customWidth="1"/>
    <col min="2562" max="2562" width="33" customWidth="1"/>
    <col min="2566" max="2566" width="9.5703125" bestFit="1" customWidth="1"/>
    <col min="2570" max="2570" width="19.42578125" bestFit="1" customWidth="1"/>
    <col min="2572" max="2572" width="15.7109375" bestFit="1" customWidth="1"/>
    <col min="2574" max="2574" width="19.42578125" bestFit="1" customWidth="1"/>
    <col min="2575" max="2575" width="18.7109375" bestFit="1" customWidth="1"/>
    <col min="2576" max="2578" width="18.28515625" bestFit="1" customWidth="1"/>
    <col min="2579" max="2584" width="18.7109375" bestFit="1" customWidth="1"/>
    <col min="2587" max="2587" width="15.28515625" customWidth="1"/>
    <col min="2588" max="2588" width="14.7109375" bestFit="1" customWidth="1"/>
    <col min="2589" max="2591" width="13.7109375" bestFit="1" customWidth="1"/>
    <col min="2818" max="2818" width="33" customWidth="1"/>
    <col min="2822" max="2822" width="9.5703125" bestFit="1" customWidth="1"/>
    <col min="2826" max="2826" width="19.42578125" bestFit="1" customWidth="1"/>
    <col min="2828" max="2828" width="15.7109375" bestFit="1" customWidth="1"/>
    <col min="2830" max="2830" width="19.42578125" bestFit="1" customWidth="1"/>
    <col min="2831" max="2831" width="18.7109375" bestFit="1" customWidth="1"/>
    <col min="2832" max="2834" width="18.28515625" bestFit="1" customWidth="1"/>
    <col min="2835" max="2840" width="18.7109375" bestFit="1" customWidth="1"/>
    <col min="2843" max="2843" width="15.28515625" customWidth="1"/>
    <col min="2844" max="2844" width="14.7109375" bestFit="1" customWidth="1"/>
    <col min="2845" max="2847" width="13.7109375" bestFit="1" customWidth="1"/>
    <col min="3074" max="3074" width="33" customWidth="1"/>
    <col min="3078" max="3078" width="9.5703125" bestFit="1" customWidth="1"/>
    <col min="3082" max="3082" width="19.42578125" bestFit="1" customWidth="1"/>
    <col min="3084" max="3084" width="15.7109375" bestFit="1" customWidth="1"/>
    <col min="3086" max="3086" width="19.42578125" bestFit="1" customWidth="1"/>
    <col min="3087" max="3087" width="18.7109375" bestFit="1" customWidth="1"/>
    <col min="3088" max="3090" width="18.28515625" bestFit="1" customWidth="1"/>
    <col min="3091" max="3096" width="18.7109375" bestFit="1" customWidth="1"/>
    <col min="3099" max="3099" width="15.28515625" customWidth="1"/>
    <col min="3100" max="3100" width="14.7109375" bestFit="1" customWidth="1"/>
    <col min="3101" max="3103" width="13.7109375" bestFit="1" customWidth="1"/>
    <col min="3330" max="3330" width="33" customWidth="1"/>
    <col min="3334" max="3334" width="9.5703125" bestFit="1" customWidth="1"/>
    <col min="3338" max="3338" width="19.42578125" bestFit="1" customWidth="1"/>
    <col min="3340" max="3340" width="15.7109375" bestFit="1" customWidth="1"/>
    <col min="3342" max="3342" width="19.42578125" bestFit="1" customWidth="1"/>
    <col min="3343" max="3343" width="18.7109375" bestFit="1" customWidth="1"/>
    <col min="3344" max="3346" width="18.28515625" bestFit="1" customWidth="1"/>
    <col min="3347" max="3352" width="18.7109375" bestFit="1" customWidth="1"/>
    <col min="3355" max="3355" width="15.28515625" customWidth="1"/>
    <col min="3356" max="3356" width="14.7109375" bestFit="1" customWidth="1"/>
    <col min="3357" max="3359" width="13.7109375" bestFit="1" customWidth="1"/>
    <col min="3586" max="3586" width="33" customWidth="1"/>
    <col min="3590" max="3590" width="9.5703125" bestFit="1" customWidth="1"/>
    <col min="3594" max="3594" width="19.42578125" bestFit="1" customWidth="1"/>
    <col min="3596" max="3596" width="15.7109375" bestFit="1" customWidth="1"/>
    <col min="3598" max="3598" width="19.42578125" bestFit="1" customWidth="1"/>
    <col min="3599" max="3599" width="18.7109375" bestFit="1" customWidth="1"/>
    <col min="3600" max="3602" width="18.28515625" bestFit="1" customWidth="1"/>
    <col min="3603" max="3608" width="18.7109375" bestFit="1" customWidth="1"/>
    <col min="3611" max="3611" width="15.28515625" customWidth="1"/>
    <col min="3612" max="3612" width="14.7109375" bestFit="1" customWidth="1"/>
    <col min="3613" max="3615" width="13.7109375" bestFit="1" customWidth="1"/>
    <col min="3842" max="3842" width="33" customWidth="1"/>
    <col min="3846" max="3846" width="9.5703125" bestFit="1" customWidth="1"/>
    <col min="3850" max="3850" width="19.42578125" bestFit="1" customWidth="1"/>
    <col min="3852" max="3852" width="15.7109375" bestFit="1" customWidth="1"/>
    <col min="3854" max="3854" width="19.42578125" bestFit="1" customWidth="1"/>
    <col min="3855" max="3855" width="18.7109375" bestFit="1" customWidth="1"/>
    <col min="3856" max="3858" width="18.28515625" bestFit="1" customWidth="1"/>
    <col min="3859" max="3864" width="18.7109375" bestFit="1" customWidth="1"/>
    <col min="3867" max="3867" width="15.28515625" customWidth="1"/>
    <col min="3868" max="3868" width="14.7109375" bestFit="1" customWidth="1"/>
    <col min="3869" max="3871" width="13.7109375" bestFit="1" customWidth="1"/>
    <col min="4098" max="4098" width="33" customWidth="1"/>
    <col min="4102" max="4102" width="9.5703125" bestFit="1" customWidth="1"/>
    <col min="4106" max="4106" width="19.42578125" bestFit="1" customWidth="1"/>
    <col min="4108" max="4108" width="15.7109375" bestFit="1" customWidth="1"/>
    <col min="4110" max="4110" width="19.42578125" bestFit="1" customWidth="1"/>
    <col min="4111" max="4111" width="18.7109375" bestFit="1" customWidth="1"/>
    <col min="4112" max="4114" width="18.28515625" bestFit="1" customWidth="1"/>
    <col min="4115" max="4120" width="18.7109375" bestFit="1" customWidth="1"/>
    <col min="4123" max="4123" width="15.28515625" customWidth="1"/>
    <col min="4124" max="4124" width="14.7109375" bestFit="1" customWidth="1"/>
    <col min="4125" max="4127" width="13.7109375" bestFit="1" customWidth="1"/>
    <col min="4354" max="4354" width="33" customWidth="1"/>
    <col min="4358" max="4358" width="9.5703125" bestFit="1" customWidth="1"/>
    <col min="4362" max="4362" width="19.42578125" bestFit="1" customWidth="1"/>
    <col min="4364" max="4364" width="15.7109375" bestFit="1" customWidth="1"/>
    <col min="4366" max="4366" width="19.42578125" bestFit="1" customWidth="1"/>
    <col min="4367" max="4367" width="18.7109375" bestFit="1" customWidth="1"/>
    <col min="4368" max="4370" width="18.28515625" bestFit="1" customWidth="1"/>
    <col min="4371" max="4376" width="18.7109375" bestFit="1" customWidth="1"/>
    <col min="4379" max="4379" width="15.28515625" customWidth="1"/>
    <col min="4380" max="4380" width="14.7109375" bestFit="1" customWidth="1"/>
    <col min="4381" max="4383" width="13.7109375" bestFit="1" customWidth="1"/>
    <col min="4610" max="4610" width="33" customWidth="1"/>
    <col min="4614" max="4614" width="9.5703125" bestFit="1" customWidth="1"/>
    <col min="4618" max="4618" width="19.42578125" bestFit="1" customWidth="1"/>
    <col min="4620" max="4620" width="15.7109375" bestFit="1" customWidth="1"/>
    <col min="4622" max="4622" width="19.42578125" bestFit="1" customWidth="1"/>
    <col min="4623" max="4623" width="18.7109375" bestFit="1" customWidth="1"/>
    <col min="4624" max="4626" width="18.28515625" bestFit="1" customWidth="1"/>
    <col min="4627" max="4632" width="18.7109375" bestFit="1" customWidth="1"/>
    <col min="4635" max="4635" width="15.28515625" customWidth="1"/>
    <col min="4636" max="4636" width="14.7109375" bestFit="1" customWidth="1"/>
    <col min="4637" max="4639" width="13.7109375" bestFit="1" customWidth="1"/>
    <col min="4866" max="4866" width="33" customWidth="1"/>
    <col min="4870" max="4870" width="9.5703125" bestFit="1" customWidth="1"/>
    <col min="4874" max="4874" width="19.42578125" bestFit="1" customWidth="1"/>
    <col min="4876" max="4876" width="15.7109375" bestFit="1" customWidth="1"/>
    <col min="4878" max="4878" width="19.42578125" bestFit="1" customWidth="1"/>
    <col min="4879" max="4879" width="18.7109375" bestFit="1" customWidth="1"/>
    <col min="4880" max="4882" width="18.28515625" bestFit="1" customWidth="1"/>
    <col min="4883" max="4888" width="18.7109375" bestFit="1" customWidth="1"/>
    <col min="4891" max="4891" width="15.28515625" customWidth="1"/>
    <col min="4892" max="4892" width="14.7109375" bestFit="1" customWidth="1"/>
    <col min="4893" max="4895" width="13.7109375" bestFit="1" customWidth="1"/>
    <col min="5122" max="5122" width="33" customWidth="1"/>
    <col min="5126" max="5126" width="9.5703125" bestFit="1" customWidth="1"/>
    <col min="5130" max="5130" width="19.42578125" bestFit="1" customWidth="1"/>
    <col min="5132" max="5132" width="15.7109375" bestFit="1" customWidth="1"/>
    <col min="5134" max="5134" width="19.42578125" bestFit="1" customWidth="1"/>
    <col min="5135" max="5135" width="18.7109375" bestFit="1" customWidth="1"/>
    <col min="5136" max="5138" width="18.28515625" bestFit="1" customWidth="1"/>
    <col min="5139" max="5144" width="18.7109375" bestFit="1" customWidth="1"/>
    <col min="5147" max="5147" width="15.28515625" customWidth="1"/>
    <col min="5148" max="5148" width="14.7109375" bestFit="1" customWidth="1"/>
    <col min="5149" max="5151" width="13.7109375" bestFit="1" customWidth="1"/>
    <col min="5378" max="5378" width="33" customWidth="1"/>
    <col min="5382" max="5382" width="9.5703125" bestFit="1" customWidth="1"/>
    <col min="5386" max="5386" width="19.42578125" bestFit="1" customWidth="1"/>
    <col min="5388" max="5388" width="15.7109375" bestFit="1" customWidth="1"/>
    <col min="5390" max="5390" width="19.42578125" bestFit="1" customWidth="1"/>
    <col min="5391" max="5391" width="18.7109375" bestFit="1" customWidth="1"/>
    <col min="5392" max="5394" width="18.28515625" bestFit="1" customWidth="1"/>
    <col min="5395" max="5400" width="18.7109375" bestFit="1" customWidth="1"/>
    <col min="5403" max="5403" width="15.28515625" customWidth="1"/>
    <col min="5404" max="5404" width="14.7109375" bestFit="1" customWidth="1"/>
    <col min="5405" max="5407" width="13.7109375" bestFit="1" customWidth="1"/>
    <col min="5634" max="5634" width="33" customWidth="1"/>
    <col min="5638" max="5638" width="9.5703125" bestFit="1" customWidth="1"/>
    <col min="5642" max="5642" width="19.42578125" bestFit="1" customWidth="1"/>
    <col min="5644" max="5644" width="15.7109375" bestFit="1" customWidth="1"/>
    <col min="5646" max="5646" width="19.42578125" bestFit="1" customWidth="1"/>
    <col min="5647" max="5647" width="18.7109375" bestFit="1" customWidth="1"/>
    <col min="5648" max="5650" width="18.28515625" bestFit="1" customWidth="1"/>
    <col min="5651" max="5656" width="18.7109375" bestFit="1" customWidth="1"/>
    <col min="5659" max="5659" width="15.28515625" customWidth="1"/>
    <col min="5660" max="5660" width="14.7109375" bestFit="1" customWidth="1"/>
    <col min="5661" max="5663" width="13.7109375" bestFit="1" customWidth="1"/>
    <col min="5890" max="5890" width="33" customWidth="1"/>
    <col min="5894" max="5894" width="9.5703125" bestFit="1" customWidth="1"/>
    <col min="5898" max="5898" width="19.42578125" bestFit="1" customWidth="1"/>
    <col min="5900" max="5900" width="15.7109375" bestFit="1" customWidth="1"/>
    <col min="5902" max="5902" width="19.42578125" bestFit="1" customWidth="1"/>
    <col min="5903" max="5903" width="18.7109375" bestFit="1" customWidth="1"/>
    <col min="5904" max="5906" width="18.28515625" bestFit="1" customWidth="1"/>
    <col min="5907" max="5912" width="18.7109375" bestFit="1" customWidth="1"/>
    <col min="5915" max="5915" width="15.28515625" customWidth="1"/>
    <col min="5916" max="5916" width="14.7109375" bestFit="1" customWidth="1"/>
    <col min="5917" max="5919" width="13.7109375" bestFit="1" customWidth="1"/>
    <col min="6146" max="6146" width="33" customWidth="1"/>
    <col min="6150" max="6150" width="9.5703125" bestFit="1" customWidth="1"/>
    <col min="6154" max="6154" width="19.42578125" bestFit="1" customWidth="1"/>
    <col min="6156" max="6156" width="15.7109375" bestFit="1" customWidth="1"/>
    <col min="6158" max="6158" width="19.42578125" bestFit="1" customWidth="1"/>
    <col min="6159" max="6159" width="18.7109375" bestFit="1" customWidth="1"/>
    <col min="6160" max="6162" width="18.28515625" bestFit="1" customWidth="1"/>
    <col min="6163" max="6168" width="18.7109375" bestFit="1" customWidth="1"/>
    <col min="6171" max="6171" width="15.28515625" customWidth="1"/>
    <col min="6172" max="6172" width="14.7109375" bestFit="1" customWidth="1"/>
    <col min="6173" max="6175" width="13.7109375" bestFit="1" customWidth="1"/>
    <col min="6402" max="6402" width="33" customWidth="1"/>
    <col min="6406" max="6406" width="9.5703125" bestFit="1" customWidth="1"/>
    <col min="6410" max="6410" width="19.42578125" bestFit="1" customWidth="1"/>
    <col min="6412" max="6412" width="15.7109375" bestFit="1" customWidth="1"/>
    <col min="6414" max="6414" width="19.42578125" bestFit="1" customWidth="1"/>
    <col min="6415" max="6415" width="18.7109375" bestFit="1" customWidth="1"/>
    <col min="6416" max="6418" width="18.28515625" bestFit="1" customWidth="1"/>
    <col min="6419" max="6424" width="18.7109375" bestFit="1" customWidth="1"/>
    <col min="6427" max="6427" width="15.28515625" customWidth="1"/>
    <col min="6428" max="6428" width="14.7109375" bestFit="1" customWidth="1"/>
    <col min="6429" max="6431" width="13.7109375" bestFit="1" customWidth="1"/>
    <col min="6658" max="6658" width="33" customWidth="1"/>
    <col min="6662" max="6662" width="9.5703125" bestFit="1" customWidth="1"/>
    <col min="6666" max="6666" width="19.42578125" bestFit="1" customWidth="1"/>
    <col min="6668" max="6668" width="15.7109375" bestFit="1" customWidth="1"/>
    <col min="6670" max="6670" width="19.42578125" bestFit="1" customWidth="1"/>
    <col min="6671" max="6671" width="18.7109375" bestFit="1" customWidth="1"/>
    <col min="6672" max="6674" width="18.28515625" bestFit="1" customWidth="1"/>
    <col min="6675" max="6680" width="18.7109375" bestFit="1" customWidth="1"/>
    <col min="6683" max="6683" width="15.28515625" customWidth="1"/>
    <col min="6684" max="6684" width="14.7109375" bestFit="1" customWidth="1"/>
    <col min="6685" max="6687" width="13.7109375" bestFit="1" customWidth="1"/>
    <col min="6914" max="6914" width="33" customWidth="1"/>
    <col min="6918" max="6918" width="9.5703125" bestFit="1" customWidth="1"/>
    <col min="6922" max="6922" width="19.42578125" bestFit="1" customWidth="1"/>
    <col min="6924" max="6924" width="15.7109375" bestFit="1" customWidth="1"/>
    <col min="6926" max="6926" width="19.42578125" bestFit="1" customWidth="1"/>
    <col min="6927" max="6927" width="18.7109375" bestFit="1" customWidth="1"/>
    <col min="6928" max="6930" width="18.28515625" bestFit="1" customWidth="1"/>
    <col min="6931" max="6936" width="18.7109375" bestFit="1" customWidth="1"/>
    <col min="6939" max="6939" width="15.28515625" customWidth="1"/>
    <col min="6940" max="6940" width="14.7109375" bestFit="1" customWidth="1"/>
    <col min="6941" max="6943" width="13.7109375" bestFit="1" customWidth="1"/>
    <col min="7170" max="7170" width="33" customWidth="1"/>
    <col min="7174" max="7174" width="9.5703125" bestFit="1" customWidth="1"/>
    <col min="7178" max="7178" width="19.42578125" bestFit="1" customWidth="1"/>
    <col min="7180" max="7180" width="15.7109375" bestFit="1" customWidth="1"/>
    <col min="7182" max="7182" width="19.42578125" bestFit="1" customWidth="1"/>
    <col min="7183" max="7183" width="18.7109375" bestFit="1" customWidth="1"/>
    <col min="7184" max="7186" width="18.28515625" bestFit="1" customWidth="1"/>
    <col min="7187" max="7192" width="18.7109375" bestFit="1" customWidth="1"/>
    <col min="7195" max="7195" width="15.28515625" customWidth="1"/>
    <col min="7196" max="7196" width="14.7109375" bestFit="1" customWidth="1"/>
    <col min="7197" max="7199" width="13.7109375" bestFit="1" customWidth="1"/>
    <col min="7426" max="7426" width="33" customWidth="1"/>
    <col min="7430" max="7430" width="9.5703125" bestFit="1" customWidth="1"/>
    <col min="7434" max="7434" width="19.42578125" bestFit="1" customWidth="1"/>
    <col min="7436" max="7436" width="15.7109375" bestFit="1" customWidth="1"/>
    <col min="7438" max="7438" width="19.42578125" bestFit="1" customWidth="1"/>
    <col min="7439" max="7439" width="18.7109375" bestFit="1" customWidth="1"/>
    <col min="7440" max="7442" width="18.28515625" bestFit="1" customWidth="1"/>
    <col min="7443" max="7448" width="18.7109375" bestFit="1" customWidth="1"/>
    <col min="7451" max="7451" width="15.28515625" customWidth="1"/>
    <col min="7452" max="7452" width="14.7109375" bestFit="1" customWidth="1"/>
    <col min="7453" max="7455" width="13.7109375" bestFit="1" customWidth="1"/>
    <col min="7682" max="7682" width="33" customWidth="1"/>
    <col min="7686" max="7686" width="9.5703125" bestFit="1" customWidth="1"/>
    <col min="7690" max="7690" width="19.42578125" bestFit="1" customWidth="1"/>
    <col min="7692" max="7692" width="15.7109375" bestFit="1" customWidth="1"/>
    <col min="7694" max="7694" width="19.42578125" bestFit="1" customWidth="1"/>
    <col min="7695" max="7695" width="18.7109375" bestFit="1" customWidth="1"/>
    <col min="7696" max="7698" width="18.28515625" bestFit="1" customWidth="1"/>
    <col min="7699" max="7704" width="18.7109375" bestFit="1" customWidth="1"/>
    <col min="7707" max="7707" width="15.28515625" customWidth="1"/>
    <col min="7708" max="7708" width="14.7109375" bestFit="1" customWidth="1"/>
    <col min="7709" max="7711" width="13.7109375" bestFit="1" customWidth="1"/>
    <col min="7938" max="7938" width="33" customWidth="1"/>
    <col min="7942" max="7942" width="9.5703125" bestFit="1" customWidth="1"/>
    <col min="7946" max="7946" width="19.42578125" bestFit="1" customWidth="1"/>
    <col min="7948" max="7948" width="15.7109375" bestFit="1" customWidth="1"/>
    <col min="7950" max="7950" width="19.42578125" bestFit="1" customWidth="1"/>
    <col min="7951" max="7951" width="18.7109375" bestFit="1" customWidth="1"/>
    <col min="7952" max="7954" width="18.28515625" bestFit="1" customWidth="1"/>
    <col min="7955" max="7960" width="18.7109375" bestFit="1" customWidth="1"/>
    <col min="7963" max="7963" width="15.28515625" customWidth="1"/>
    <col min="7964" max="7964" width="14.7109375" bestFit="1" customWidth="1"/>
    <col min="7965" max="7967" width="13.7109375" bestFit="1" customWidth="1"/>
    <col min="8194" max="8194" width="33" customWidth="1"/>
    <col min="8198" max="8198" width="9.5703125" bestFit="1" customWidth="1"/>
    <col min="8202" max="8202" width="19.42578125" bestFit="1" customWidth="1"/>
    <col min="8204" max="8204" width="15.7109375" bestFit="1" customWidth="1"/>
    <col min="8206" max="8206" width="19.42578125" bestFit="1" customWidth="1"/>
    <col min="8207" max="8207" width="18.7109375" bestFit="1" customWidth="1"/>
    <col min="8208" max="8210" width="18.28515625" bestFit="1" customWidth="1"/>
    <col min="8211" max="8216" width="18.7109375" bestFit="1" customWidth="1"/>
    <col min="8219" max="8219" width="15.28515625" customWidth="1"/>
    <col min="8220" max="8220" width="14.7109375" bestFit="1" customWidth="1"/>
    <col min="8221" max="8223" width="13.7109375" bestFit="1" customWidth="1"/>
    <col min="8450" max="8450" width="33" customWidth="1"/>
    <col min="8454" max="8454" width="9.5703125" bestFit="1" customWidth="1"/>
    <col min="8458" max="8458" width="19.42578125" bestFit="1" customWidth="1"/>
    <col min="8460" max="8460" width="15.7109375" bestFit="1" customWidth="1"/>
    <col min="8462" max="8462" width="19.42578125" bestFit="1" customWidth="1"/>
    <col min="8463" max="8463" width="18.7109375" bestFit="1" customWidth="1"/>
    <col min="8464" max="8466" width="18.28515625" bestFit="1" customWidth="1"/>
    <col min="8467" max="8472" width="18.7109375" bestFit="1" customWidth="1"/>
    <col min="8475" max="8475" width="15.28515625" customWidth="1"/>
    <col min="8476" max="8476" width="14.7109375" bestFit="1" customWidth="1"/>
    <col min="8477" max="8479" width="13.7109375" bestFit="1" customWidth="1"/>
    <col min="8706" max="8706" width="33" customWidth="1"/>
    <col min="8710" max="8710" width="9.5703125" bestFit="1" customWidth="1"/>
    <col min="8714" max="8714" width="19.42578125" bestFit="1" customWidth="1"/>
    <col min="8716" max="8716" width="15.7109375" bestFit="1" customWidth="1"/>
    <col min="8718" max="8718" width="19.42578125" bestFit="1" customWidth="1"/>
    <col min="8719" max="8719" width="18.7109375" bestFit="1" customWidth="1"/>
    <col min="8720" max="8722" width="18.28515625" bestFit="1" customWidth="1"/>
    <col min="8723" max="8728" width="18.7109375" bestFit="1" customWidth="1"/>
    <col min="8731" max="8731" width="15.28515625" customWidth="1"/>
    <col min="8732" max="8732" width="14.7109375" bestFit="1" customWidth="1"/>
    <col min="8733" max="8735" width="13.7109375" bestFit="1" customWidth="1"/>
    <col min="8962" max="8962" width="33" customWidth="1"/>
    <col min="8966" max="8966" width="9.5703125" bestFit="1" customWidth="1"/>
    <col min="8970" max="8970" width="19.42578125" bestFit="1" customWidth="1"/>
    <col min="8972" max="8972" width="15.7109375" bestFit="1" customWidth="1"/>
    <col min="8974" max="8974" width="19.42578125" bestFit="1" customWidth="1"/>
    <col min="8975" max="8975" width="18.7109375" bestFit="1" customWidth="1"/>
    <col min="8976" max="8978" width="18.28515625" bestFit="1" customWidth="1"/>
    <col min="8979" max="8984" width="18.7109375" bestFit="1" customWidth="1"/>
    <col min="8987" max="8987" width="15.28515625" customWidth="1"/>
    <col min="8988" max="8988" width="14.7109375" bestFit="1" customWidth="1"/>
    <col min="8989" max="8991" width="13.7109375" bestFit="1" customWidth="1"/>
    <col min="9218" max="9218" width="33" customWidth="1"/>
    <col min="9222" max="9222" width="9.5703125" bestFit="1" customWidth="1"/>
    <col min="9226" max="9226" width="19.42578125" bestFit="1" customWidth="1"/>
    <col min="9228" max="9228" width="15.7109375" bestFit="1" customWidth="1"/>
    <col min="9230" max="9230" width="19.42578125" bestFit="1" customWidth="1"/>
    <col min="9231" max="9231" width="18.7109375" bestFit="1" customWidth="1"/>
    <col min="9232" max="9234" width="18.28515625" bestFit="1" customWidth="1"/>
    <col min="9235" max="9240" width="18.7109375" bestFit="1" customWidth="1"/>
    <col min="9243" max="9243" width="15.28515625" customWidth="1"/>
    <col min="9244" max="9244" width="14.7109375" bestFit="1" customWidth="1"/>
    <col min="9245" max="9247" width="13.7109375" bestFit="1" customWidth="1"/>
    <col min="9474" max="9474" width="33" customWidth="1"/>
    <col min="9478" max="9478" width="9.5703125" bestFit="1" customWidth="1"/>
    <col min="9482" max="9482" width="19.42578125" bestFit="1" customWidth="1"/>
    <col min="9484" max="9484" width="15.7109375" bestFit="1" customWidth="1"/>
    <col min="9486" max="9486" width="19.42578125" bestFit="1" customWidth="1"/>
    <col min="9487" max="9487" width="18.7109375" bestFit="1" customWidth="1"/>
    <col min="9488" max="9490" width="18.28515625" bestFit="1" customWidth="1"/>
    <col min="9491" max="9496" width="18.7109375" bestFit="1" customWidth="1"/>
    <col min="9499" max="9499" width="15.28515625" customWidth="1"/>
    <col min="9500" max="9500" width="14.7109375" bestFit="1" customWidth="1"/>
    <col min="9501" max="9503" width="13.7109375" bestFit="1" customWidth="1"/>
    <col min="9730" max="9730" width="33" customWidth="1"/>
    <col min="9734" max="9734" width="9.5703125" bestFit="1" customWidth="1"/>
    <col min="9738" max="9738" width="19.42578125" bestFit="1" customWidth="1"/>
    <col min="9740" max="9740" width="15.7109375" bestFit="1" customWidth="1"/>
    <col min="9742" max="9742" width="19.42578125" bestFit="1" customWidth="1"/>
    <col min="9743" max="9743" width="18.7109375" bestFit="1" customWidth="1"/>
    <col min="9744" max="9746" width="18.28515625" bestFit="1" customWidth="1"/>
    <col min="9747" max="9752" width="18.7109375" bestFit="1" customWidth="1"/>
    <col min="9755" max="9755" width="15.28515625" customWidth="1"/>
    <col min="9756" max="9756" width="14.7109375" bestFit="1" customWidth="1"/>
    <col min="9757" max="9759" width="13.7109375" bestFit="1" customWidth="1"/>
    <col min="9986" max="9986" width="33" customWidth="1"/>
    <col min="9990" max="9990" width="9.5703125" bestFit="1" customWidth="1"/>
    <col min="9994" max="9994" width="19.42578125" bestFit="1" customWidth="1"/>
    <col min="9996" max="9996" width="15.7109375" bestFit="1" customWidth="1"/>
    <col min="9998" max="9998" width="19.42578125" bestFit="1" customWidth="1"/>
    <col min="9999" max="9999" width="18.7109375" bestFit="1" customWidth="1"/>
    <col min="10000" max="10002" width="18.28515625" bestFit="1" customWidth="1"/>
    <col min="10003" max="10008" width="18.7109375" bestFit="1" customWidth="1"/>
    <col min="10011" max="10011" width="15.28515625" customWidth="1"/>
    <col min="10012" max="10012" width="14.7109375" bestFit="1" customWidth="1"/>
    <col min="10013" max="10015" width="13.7109375" bestFit="1" customWidth="1"/>
    <col min="10242" max="10242" width="33" customWidth="1"/>
    <col min="10246" max="10246" width="9.5703125" bestFit="1" customWidth="1"/>
    <col min="10250" max="10250" width="19.42578125" bestFit="1" customWidth="1"/>
    <col min="10252" max="10252" width="15.7109375" bestFit="1" customWidth="1"/>
    <col min="10254" max="10254" width="19.42578125" bestFit="1" customWidth="1"/>
    <col min="10255" max="10255" width="18.7109375" bestFit="1" customWidth="1"/>
    <col min="10256" max="10258" width="18.28515625" bestFit="1" customWidth="1"/>
    <col min="10259" max="10264" width="18.7109375" bestFit="1" customWidth="1"/>
    <col min="10267" max="10267" width="15.28515625" customWidth="1"/>
    <col min="10268" max="10268" width="14.7109375" bestFit="1" customWidth="1"/>
    <col min="10269" max="10271" width="13.7109375" bestFit="1" customWidth="1"/>
    <col min="10498" max="10498" width="33" customWidth="1"/>
    <col min="10502" max="10502" width="9.5703125" bestFit="1" customWidth="1"/>
    <col min="10506" max="10506" width="19.42578125" bestFit="1" customWidth="1"/>
    <col min="10508" max="10508" width="15.7109375" bestFit="1" customWidth="1"/>
    <col min="10510" max="10510" width="19.42578125" bestFit="1" customWidth="1"/>
    <col min="10511" max="10511" width="18.7109375" bestFit="1" customWidth="1"/>
    <col min="10512" max="10514" width="18.28515625" bestFit="1" customWidth="1"/>
    <col min="10515" max="10520" width="18.7109375" bestFit="1" customWidth="1"/>
    <col min="10523" max="10523" width="15.28515625" customWidth="1"/>
    <col min="10524" max="10524" width="14.7109375" bestFit="1" customWidth="1"/>
    <col min="10525" max="10527" width="13.7109375" bestFit="1" customWidth="1"/>
    <col min="10754" max="10754" width="33" customWidth="1"/>
    <col min="10758" max="10758" width="9.5703125" bestFit="1" customWidth="1"/>
    <col min="10762" max="10762" width="19.42578125" bestFit="1" customWidth="1"/>
    <col min="10764" max="10764" width="15.7109375" bestFit="1" customWidth="1"/>
    <col min="10766" max="10766" width="19.42578125" bestFit="1" customWidth="1"/>
    <col min="10767" max="10767" width="18.7109375" bestFit="1" customWidth="1"/>
    <col min="10768" max="10770" width="18.28515625" bestFit="1" customWidth="1"/>
    <col min="10771" max="10776" width="18.7109375" bestFit="1" customWidth="1"/>
    <col min="10779" max="10779" width="15.28515625" customWidth="1"/>
    <col min="10780" max="10780" width="14.7109375" bestFit="1" customWidth="1"/>
    <col min="10781" max="10783" width="13.7109375" bestFit="1" customWidth="1"/>
    <col min="11010" max="11010" width="33" customWidth="1"/>
    <col min="11014" max="11014" width="9.5703125" bestFit="1" customWidth="1"/>
    <col min="11018" max="11018" width="19.42578125" bestFit="1" customWidth="1"/>
    <col min="11020" max="11020" width="15.7109375" bestFit="1" customWidth="1"/>
    <col min="11022" max="11022" width="19.42578125" bestFit="1" customWidth="1"/>
    <col min="11023" max="11023" width="18.7109375" bestFit="1" customWidth="1"/>
    <col min="11024" max="11026" width="18.28515625" bestFit="1" customWidth="1"/>
    <col min="11027" max="11032" width="18.7109375" bestFit="1" customWidth="1"/>
    <col min="11035" max="11035" width="15.28515625" customWidth="1"/>
    <col min="11036" max="11036" width="14.7109375" bestFit="1" customWidth="1"/>
    <col min="11037" max="11039" width="13.7109375" bestFit="1" customWidth="1"/>
    <col min="11266" max="11266" width="33" customWidth="1"/>
    <col min="11270" max="11270" width="9.5703125" bestFit="1" customWidth="1"/>
    <col min="11274" max="11274" width="19.42578125" bestFit="1" customWidth="1"/>
    <col min="11276" max="11276" width="15.7109375" bestFit="1" customWidth="1"/>
    <col min="11278" max="11278" width="19.42578125" bestFit="1" customWidth="1"/>
    <col min="11279" max="11279" width="18.7109375" bestFit="1" customWidth="1"/>
    <col min="11280" max="11282" width="18.28515625" bestFit="1" customWidth="1"/>
    <col min="11283" max="11288" width="18.7109375" bestFit="1" customWidth="1"/>
    <col min="11291" max="11291" width="15.28515625" customWidth="1"/>
    <col min="11292" max="11292" width="14.7109375" bestFit="1" customWidth="1"/>
    <col min="11293" max="11295" width="13.7109375" bestFit="1" customWidth="1"/>
    <col min="11522" max="11522" width="33" customWidth="1"/>
    <col min="11526" max="11526" width="9.5703125" bestFit="1" customWidth="1"/>
    <col min="11530" max="11530" width="19.42578125" bestFit="1" customWidth="1"/>
    <col min="11532" max="11532" width="15.7109375" bestFit="1" customWidth="1"/>
    <col min="11534" max="11534" width="19.42578125" bestFit="1" customWidth="1"/>
    <col min="11535" max="11535" width="18.7109375" bestFit="1" customWidth="1"/>
    <col min="11536" max="11538" width="18.28515625" bestFit="1" customWidth="1"/>
    <col min="11539" max="11544" width="18.7109375" bestFit="1" customWidth="1"/>
    <col min="11547" max="11547" width="15.28515625" customWidth="1"/>
    <col min="11548" max="11548" width="14.7109375" bestFit="1" customWidth="1"/>
    <col min="11549" max="11551" width="13.7109375" bestFit="1" customWidth="1"/>
    <col min="11778" max="11778" width="33" customWidth="1"/>
    <col min="11782" max="11782" width="9.5703125" bestFit="1" customWidth="1"/>
    <col min="11786" max="11786" width="19.42578125" bestFit="1" customWidth="1"/>
    <col min="11788" max="11788" width="15.7109375" bestFit="1" customWidth="1"/>
    <col min="11790" max="11790" width="19.42578125" bestFit="1" customWidth="1"/>
    <col min="11791" max="11791" width="18.7109375" bestFit="1" customWidth="1"/>
    <col min="11792" max="11794" width="18.28515625" bestFit="1" customWidth="1"/>
    <col min="11795" max="11800" width="18.7109375" bestFit="1" customWidth="1"/>
    <col min="11803" max="11803" width="15.28515625" customWidth="1"/>
    <col min="11804" max="11804" width="14.7109375" bestFit="1" customWidth="1"/>
    <col min="11805" max="11807" width="13.7109375" bestFit="1" customWidth="1"/>
    <col min="12034" max="12034" width="33" customWidth="1"/>
    <col min="12038" max="12038" width="9.5703125" bestFit="1" customWidth="1"/>
    <col min="12042" max="12042" width="19.42578125" bestFit="1" customWidth="1"/>
    <col min="12044" max="12044" width="15.7109375" bestFit="1" customWidth="1"/>
    <col min="12046" max="12046" width="19.42578125" bestFit="1" customWidth="1"/>
    <col min="12047" max="12047" width="18.7109375" bestFit="1" customWidth="1"/>
    <col min="12048" max="12050" width="18.28515625" bestFit="1" customWidth="1"/>
    <col min="12051" max="12056" width="18.7109375" bestFit="1" customWidth="1"/>
    <col min="12059" max="12059" width="15.28515625" customWidth="1"/>
    <col min="12060" max="12060" width="14.7109375" bestFit="1" customWidth="1"/>
    <col min="12061" max="12063" width="13.7109375" bestFit="1" customWidth="1"/>
    <col min="12290" max="12290" width="33" customWidth="1"/>
    <col min="12294" max="12294" width="9.5703125" bestFit="1" customWidth="1"/>
    <col min="12298" max="12298" width="19.42578125" bestFit="1" customWidth="1"/>
    <col min="12300" max="12300" width="15.7109375" bestFit="1" customWidth="1"/>
    <col min="12302" max="12302" width="19.42578125" bestFit="1" customWidth="1"/>
    <col min="12303" max="12303" width="18.7109375" bestFit="1" customWidth="1"/>
    <col min="12304" max="12306" width="18.28515625" bestFit="1" customWidth="1"/>
    <col min="12307" max="12312" width="18.7109375" bestFit="1" customWidth="1"/>
    <col min="12315" max="12315" width="15.28515625" customWidth="1"/>
    <col min="12316" max="12316" width="14.7109375" bestFit="1" customWidth="1"/>
    <col min="12317" max="12319" width="13.7109375" bestFit="1" customWidth="1"/>
    <col min="12546" max="12546" width="33" customWidth="1"/>
    <col min="12550" max="12550" width="9.5703125" bestFit="1" customWidth="1"/>
    <col min="12554" max="12554" width="19.42578125" bestFit="1" customWidth="1"/>
    <col min="12556" max="12556" width="15.7109375" bestFit="1" customWidth="1"/>
    <col min="12558" max="12558" width="19.42578125" bestFit="1" customWidth="1"/>
    <col min="12559" max="12559" width="18.7109375" bestFit="1" customWidth="1"/>
    <col min="12560" max="12562" width="18.28515625" bestFit="1" customWidth="1"/>
    <col min="12563" max="12568" width="18.7109375" bestFit="1" customWidth="1"/>
    <col min="12571" max="12571" width="15.28515625" customWidth="1"/>
    <col min="12572" max="12572" width="14.7109375" bestFit="1" customWidth="1"/>
    <col min="12573" max="12575" width="13.7109375" bestFit="1" customWidth="1"/>
    <col min="12802" max="12802" width="33" customWidth="1"/>
    <col min="12806" max="12806" width="9.5703125" bestFit="1" customWidth="1"/>
    <col min="12810" max="12810" width="19.42578125" bestFit="1" customWidth="1"/>
    <col min="12812" max="12812" width="15.7109375" bestFit="1" customWidth="1"/>
    <col min="12814" max="12814" width="19.42578125" bestFit="1" customWidth="1"/>
    <col min="12815" max="12815" width="18.7109375" bestFit="1" customWidth="1"/>
    <col min="12816" max="12818" width="18.28515625" bestFit="1" customWidth="1"/>
    <col min="12819" max="12824" width="18.7109375" bestFit="1" customWidth="1"/>
    <col min="12827" max="12827" width="15.28515625" customWidth="1"/>
    <col min="12828" max="12828" width="14.7109375" bestFit="1" customWidth="1"/>
    <col min="12829" max="12831" width="13.7109375" bestFit="1" customWidth="1"/>
    <col min="13058" max="13058" width="33" customWidth="1"/>
    <col min="13062" max="13062" width="9.5703125" bestFit="1" customWidth="1"/>
    <col min="13066" max="13066" width="19.42578125" bestFit="1" customWidth="1"/>
    <col min="13068" max="13068" width="15.7109375" bestFit="1" customWidth="1"/>
    <col min="13070" max="13070" width="19.42578125" bestFit="1" customWidth="1"/>
    <col min="13071" max="13071" width="18.7109375" bestFit="1" customWidth="1"/>
    <col min="13072" max="13074" width="18.28515625" bestFit="1" customWidth="1"/>
    <col min="13075" max="13080" width="18.7109375" bestFit="1" customWidth="1"/>
    <col min="13083" max="13083" width="15.28515625" customWidth="1"/>
    <col min="13084" max="13084" width="14.7109375" bestFit="1" customWidth="1"/>
    <col min="13085" max="13087" width="13.7109375" bestFit="1" customWidth="1"/>
    <col min="13314" max="13314" width="33" customWidth="1"/>
    <col min="13318" max="13318" width="9.5703125" bestFit="1" customWidth="1"/>
    <col min="13322" max="13322" width="19.42578125" bestFit="1" customWidth="1"/>
    <col min="13324" max="13324" width="15.7109375" bestFit="1" customWidth="1"/>
    <col min="13326" max="13326" width="19.42578125" bestFit="1" customWidth="1"/>
    <col min="13327" max="13327" width="18.7109375" bestFit="1" customWidth="1"/>
    <col min="13328" max="13330" width="18.28515625" bestFit="1" customWidth="1"/>
    <col min="13331" max="13336" width="18.7109375" bestFit="1" customWidth="1"/>
    <col min="13339" max="13339" width="15.28515625" customWidth="1"/>
    <col min="13340" max="13340" width="14.7109375" bestFit="1" customWidth="1"/>
    <col min="13341" max="13343" width="13.7109375" bestFit="1" customWidth="1"/>
    <col min="13570" max="13570" width="33" customWidth="1"/>
    <col min="13574" max="13574" width="9.5703125" bestFit="1" customWidth="1"/>
    <col min="13578" max="13578" width="19.42578125" bestFit="1" customWidth="1"/>
    <col min="13580" max="13580" width="15.7109375" bestFit="1" customWidth="1"/>
    <col min="13582" max="13582" width="19.42578125" bestFit="1" customWidth="1"/>
    <col min="13583" max="13583" width="18.7109375" bestFit="1" customWidth="1"/>
    <col min="13584" max="13586" width="18.28515625" bestFit="1" customWidth="1"/>
    <col min="13587" max="13592" width="18.7109375" bestFit="1" customWidth="1"/>
    <col min="13595" max="13595" width="15.28515625" customWidth="1"/>
    <col min="13596" max="13596" width="14.7109375" bestFit="1" customWidth="1"/>
    <col min="13597" max="13599" width="13.7109375" bestFit="1" customWidth="1"/>
    <col min="13826" max="13826" width="33" customWidth="1"/>
    <col min="13830" max="13830" width="9.5703125" bestFit="1" customWidth="1"/>
    <col min="13834" max="13834" width="19.42578125" bestFit="1" customWidth="1"/>
    <col min="13836" max="13836" width="15.7109375" bestFit="1" customWidth="1"/>
    <col min="13838" max="13838" width="19.42578125" bestFit="1" customWidth="1"/>
    <col min="13839" max="13839" width="18.7109375" bestFit="1" customWidth="1"/>
    <col min="13840" max="13842" width="18.28515625" bestFit="1" customWidth="1"/>
    <col min="13843" max="13848" width="18.7109375" bestFit="1" customWidth="1"/>
    <col min="13851" max="13851" width="15.28515625" customWidth="1"/>
    <col min="13852" max="13852" width="14.7109375" bestFit="1" customWidth="1"/>
    <col min="13853" max="13855" width="13.7109375" bestFit="1" customWidth="1"/>
    <col min="14082" max="14082" width="33" customWidth="1"/>
    <col min="14086" max="14086" width="9.5703125" bestFit="1" customWidth="1"/>
    <col min="14090" max="14090" width="19.42578125" bestFit="1" customWidth="1"/>
    <col min="14092" max="14092" width="15.7109375" bestFit="1" customWidth="1"/>
    <col min="14094" max="14094" width="19.42578125" bestFit="1" customWidth="1"/>
    <col min="14095" max="14095" width="18.7109375" bestFit="1" customWidth="1"/>
    <col min="14096" max="14098" width="18.28515625" bestFit="1" customWidth="1"/>
    <col min="14099" max="14104" width="18.7109375" bestFit="1" customWidth="1"/>
    <col min="14107" max="14107" width="15.28515625" customWidth="1"/>
    <col min="14108" max="14108" width="14.7109375" bestFit="1" customWidth="1"/>
    <col min="14109" max="14111" width="13.7109375" bestFit="1" customWidth="1"/>
    <col min="14338" max="14338" width="33" customWidth="1"/>
    <col min="14342" max="14342" width="9.5703125" bestFit="1" customWidth="1"/>
    <col min="14346" max="14346" width="19.42578125" bestFit="1" customWidth="1"/>
    <col min="14348" max="14348" width="15.7109375" bestFit="1" customWidth="1"/>
    <col min="14350" max="14350" width="19.42578125" bestFit="1" customWidth="1"/>
    <col min="14351" max="14351" width="18.7109375" bestFit="1" customWidth="1"/>
    <col min="14352" max="14354" width="18.28515625" bestFit="1" customWidth="1"/>
    <col min="14355" max="14360" width="18.7109375" bestFit="1" customWidth="1"/>
    <col min="14363" max="14363" width="15.28515625" customWidth="1"/>
    <col min="14364" max="14364" width="14.7109375" bestFit="1" customWidth="1"/>
    <col min="14365" max="14367" width="13.7109375" bestFit="1" customWidth="1"/>
    <col min="14594" max="14594" width="33" customWidth="1"/>
    <col min="14598" max="14598" width="9.5703125" bestFit="1" customWidth="1"/>
    <col min="14602" max="14602" width="19.42578125" bestFit="1" customWidth="1"/>
    <col min="14604" max="14604" width="15.7109375" bestFit="1" customWidth="1"/>
    <col min="14606" max="14606" width="19.42578125" bestFit="1" customWidth="1"/>
    <col min="14607" max="14607" width="18.7109375" bestFit="1" customWidth="1"/>
    <col min="14608" max="14610" width="18.28515625" bestFit="1" customWidth="1"/>
    <col min="14611" max="14616" width="18.7109375" bestFit="1" customWidth="1"/>
    <col min="14619" max="14619" width="15.28515625" customWidth="1"/>
    <col min="14620" max="14620" width="14.7109375" bestFit="1" customWidth="1"/>
    <col min="14621" max="14623" width="13.7109375" bestFit="1" customWidth="1"/>
    <col min="14850" max="14850" width="33" customWidth="1"/>
    <col min="14854" max="14854" width="9.5703125" bestFit="1" customWidth="1"/>
    <col min="14858" max="14858" width="19.42578125" bestFit="1" customWidth="1"/>
    <col min="14860" max="14860" width="15.7109375" bestFit="1" customWidth="1"/>
    <col min="14862" max="14862" width="19.42578125" bestFit="1" customWidth="1"/>
    <col min="14863" max="14863" width="18.7109375" bestFit="1" customWidth="1"/>
    <col min="14864" max="14866" width="18.28515625" bestFit="1" customWidth="1"/>
    <col min="14867" max="14872" width="18.7109375" bestFit="1" customWidth="1"/>
    <col min="14875" max="14875" width="15.28515625" customWidth="1"/>
    <col min="14876" max="14876" width="14.7109375" bestFit="1" customWidth="1"/>
    <col min="14877" max="14879" width="13.7109375" bestFit="1" customWidth="1"/>
    <col min="15106" max="15106" width="33" customWidth="1"/>
    <col min="15110" max="15110" width="9.5703125" bestFit="1" customWidth="1"/>
    <col min="15114" max="15114" width="19.42578125" bestFit="1" customWidth="1"/>
    <col min="15116" max="15116" width="15.7109375" bestFit="1" customWidth="1"/>
    <col min="15118" max="15118" width="19.42578125" bestFit="1" customWidth="1"/>
    <col min="15119" max="15119" width="18.7109375" bestFit="1" customWidth="1"/>
    <col min="15120" max="15122" width="18.28515625" bestFit="1" customWidth="1"/>
    <col min="15123" max="15128" width="18.7109375" bestFit="1" customWidth="1"/>
    <col min="15131" max="15131" width="15.28515625" customWidth="1"/>
    <col min="15132" max="15132" width="14.7109375" bestFit="1" customWidth="1"/>
    <col min="15133" max="15135" width="13.7109375" bestFit="1" customWidth="1"/>
    <col min="15362" max="15362" width="33" customWidth="1"/>
    <col min="15366" max="15366" width="9.5703125" bestFit="1" customWidth="1"/>
    <col min="15370" max="15370" width="19.42578125" bestFit="1" customWidth="1"/>
    <col min="15372" max="15372" width="15.7109375" bestFit="1" customWidth="1"/>
    <col min="15374" max="15374" width="19.42578125" bestFit="1" customWidth="1"/>
    <col min="15375" max="15375" width="18.7109375" bestFit="1" customWidth="1"/>
    <col min="15376" max="15378" width="18.28515625" bestFit="1" customWidth="1"/>
    <col min="15379" max="15384" width="18.7109375" bestFit="1" customWidth="1"/>
    <col min="15387" max="15387" width="15.28515625" customWidth="1"/>
    <col min="15388" max="15388" width="14.7109375" bestFit="1" customWidth="1"/>
    <col min="15389" max="15391" width="13.7109375" bestFit="1" customWidth="1"/>
    <col min="15618" max="15618" width="33" customWidth="1"/>
    <col min="15622" max="15622" width="9.5703125" bestFit="1" customWidth="1"/>
    <col min="15626" max="15626" width="19.42578125" bestFit="1" customWidth="1"/>
    <col min="15628" max="15628" width="15.7109375" bestFit="1" customWidth="1"/>
    <col min="15630" max="15630" width="19.42578125" bestFit="1" customWidth="1"/>
    <col min="15631" max="15631" width="18.7109375" bestFit="1" customWidth="1"/>
    <col min="15632" max="15634" width="18.28515625" bestFit="1" customWidth="1"/>
    <col min="15635" max="15640" width="18.7109375" bestFit="1" customWidth="1"/>
    <col min="15643" max="15643" width="15.28515625" customWidth="1"/>
    <col min="15644" max="15644" width="14.7109375" bestFit="1" customWidth="1"/>
    <col min="15645" max="15647" width="13.7109375" bestFit="1" customWidth="1"/>
    <col min="15874" max="15874" width="33" customWidth="1"/>
    <col min="15878" max="15878" width="9.5703125" bestFit="1" customWidth="1"/>
    <col min="15882" max="15882" width="19.42578125" bestFit="1" customWidth="1"/>
    <col min="15884" max="15884" width="15.7109375" bestFit="1" customWidth="1"/>
    <col min="15886" max="15886" width="19.42578125" bestFit="1" customWidth="1"/>
    <col min="15887" max="15887" width="18.7109375" bestFit="1" customWidth="1"/>
    <col min="15888" max="15890" width="18.28515625" bestFit="1" customWidth="1"/>
    <col min="15891" max="15896" width="18.7109375" bestFit="1" customWidth="1"/>
    <col min="15899" max="15899" width="15.28515625" customWidth="1"/>
    <col min="15900" max="15900" width="14.7109375" bestFit="1" customWidth="1"/>
    <col min="15901" max="15903" width="13.7109375" bestFit="1" customWidth="1"/>
    <col min="16130" max="16130" width="33" customWidth="1"/>
    <col min="16134" max="16134" width="9.5703125" bestFit="1" customWidth="1"/>
    <col min="16138" max="16138" width="19.42578125" bestFit="1" customWidth="1"/>
    <col min="16140" max="16140" width="15.7109375" bestFit="1" customWidth="1"/>
    <col min="16142" max="16142" width="19.42578125" bestFit="1" customWidth="1"/>
    <col min="16143" max="16143" width="18.7109375" bestFit="1" customWidth="1"/>
    <col min="16144" max="16146" width="18.28515625" bestFit="1" customWidth="1"/>
    <col min="16147" max="16152" width="18.7109375" bestFit="1" customWidth="1"/>
    <col min="16155" max="16155" width="15.28515625" customWidth="1"/>
    <col min="16156" max="16156" width="14.7109375" bestFit="1" customWidth="1"/>
    <col min="16157" max="16159" width="13.7109375" bestFit="1" customWidth="1"/>
  </cols>
  <sheetData>
    <row r="1" spans="1:19" x14ac:dyDescent="0.25">
      <c r="A1" s="28" t="s">
        <v>93</v>
      </c>
      <c r="B1" s="29"/>
      <c r="C1" s="29"/>
      <c r="D1" s="29"/>
      <c r="E1" s="29"/>
      <c r="F1" s="29"/>
      <c r="G1" s="30"/>
    </row>
    <row r="2" spans="1:19" x14ac:dyDescent="0.25">
      <c r="A2" s="31" t="s">
        <v>94</v>
      </c>
      <c r="B2" s="27"/>
      <c r="C2" s="27"/>
      <c r="D2" s="27"/>
      <c r="E2" s="27"/>
      <c r="F2" s="27"/>
      <c r="G2" s="32"/>
    </row>
    <row r="3" spans="1:19" x14ac:dyDescent="0.25">
      <c r="A3" s="31" t="s">
        <v>95</v>
      </c>
      <c r="B3" s="27"/>
      <c r="C3" s="27"/>
      <c r="D3" s="27"/>
      <c r="E3" s="27"/>
      <c r="F3" s="27"/>
      <c r="G3" s="32"/>
    </row>
    <row r="4" spans="1:19" x14ac:dyDescent="0.25">
      <c r="A4" s="31" t="s">
        <v>96</v>
      </c>
      <c r="B4" s="27"/>
      <c r="C4" s="27"/>
      <c r="D4" s="27"/>
      <c r="E4" s="27"/>
      <c r="F4" s="27"/>
      <c r="G4" s="32"/>
    </row>
    <row r="5" spans="1:19" x14ac:dyDescent="0.25">
      <c r="A5" s="35" t="s">
        <v>102</v>
      </c>
      <c r="B5" s="33"/>
      <c r="C5" s="33"/>
      <c r="D5" s="33"/>
      <c r="E5" s="33"/>
      <c r="F5" s="33"/>
      <c r="G5" s="34"/>
    </row>
    <row r="6" spans="1:19" x14ac:dyDescent="0.25">
      <c r="A6" t="s">
        <v>69</v>
      </c>
      <c r="B6" t="s">
        <v>92</v>
      </c>
    </row>
    <row r="7" spans="1:19" x14ac:dyDescent="0.25">
      <c r="A7" s="27"/>
    </row>
    <row r="8" spans="1:19" x14ac:dyDescent="0.25">
      <c r="B8" t="s">
        <v>58</v>
      </c>
      <c r="C8" s="43" t="s">
        <v>59</v>
      </c>
      <c r="D8" s="43"/>
      <c r="E8" s="43"/>
      <c r="F8" s="43"/>
      <c r="G8" s="43" t="s">
        <v>114</v>
      </c>
      <c r="H8" s="43"/>
      <c r="I8" s="43" t="s">
        <v>115</v>
      </c>
      <c r="J8" s="43"/>
      <c r="K8" s="43"/>
      <c r="L8" s="43"/>
      <c r="N8" t="s">
        <v>60</v>
      </c>
      <c r="O8" s="7" t="s">
        <v>61</v>
      </c>
      <c r="P8" s="7" t="s">
        <v>62</v>
      </c>
      <c r="Q8" s="7" t="s">
        <v>63</v>
      </c>
      <c r="R8" s="7" t="s">
        <v>64</v>
      </c>
      <c r="S8" s="7" t="s">
        <v>65</v>
      </c>
    </row>
    <row r="9" spans="1:19" x14ac:dyDescent="0.25">
      <c r="B9" t="s">
        <v>47</v>
      </c>
      <c r="C9" s="14" t="s">
        <v>48</v>
      </c>
      <c r="D9" s="14" t="s">
        <v>49</v>
      </c>
      <c r="E9" s="14" t="s">
        <v>50</v>
      </c>
      <c r="F9" s="14" t="s">
        <v>51</v>
      </c>
      <c r="G9" s="17" t="s">
        <v>52</v>
      </c>
      <c r="H9" s="17" t="s">
        <v>53</v>
      </c>
      <c r="I9" s="19" t="s">
        <v>54</v>
      </c>
      <c r="J9" s="19" t="s">
        <v>55</v>
      </c>
      <c r="K9" s="19" t="s">
        <v>56</v>
      </c>
      <c r="L9" s="19" t="s">
        <v>57</v>
      </c>
      <c r="N9" s="21">
        <v>-34</v>
      </c>
      <c r="O9" s="22">
        <v>125.69724514629168</v>
      </c>
      <c r="P9" s="22">
        <v>48.923144129188628</v>
      </c>
      <c r="Q9" s="22">
        <v>9.8480858480337741</v>
      </c>
      <c r="R9" s="22">
        <v>6.2202766435651782</v>
      </c>
      <c r="S9" s="22">
        <v>6.416107024844105E-3</v>
      </c>
    </row>
    <row r="10" spans="1:19" x14ac:dyDescent="0.25">
      <c r="A10" s="41" t="s">
        <v>61</v>
      </c>
      <c r="B10">
        <v>125.69724512323981</v>
      </c>
      <c r="C10" s="14">
        <v>125.3213538691617</v>
      </c>
      <c r="D10" s="14">
        <v>124.92392755629309</v>
      </c>
      <c r="E10" s="15">
        <v>126.0514349907799</v>
      </c>
      <c r="F10" s="14">
        <v>126.38402009109151</v>
      </c>
      <c r="G10" s="17">
        <v>128.29446845935195</v>
      </c>
      <c r="H10" s="17">
        <v>128.29446845935195</v>
      </c>
      <c r="I10" s="19">
        <v>110.59472594986663</v>
      </c>
      <c r="J10" s="19">
        <v>97.689488585426943</v>
      </c>
      <c r="K10" s="19">
        <v>143.47654503565082</v>
      </c>
      <c r="L10" s="19">
        <v>164.53934170749019</v>
      </c>
      <c r="N10" s="21">
        <v>-29</v>
      </c>
      <c r="O10" s="21">
        <v>110.59472594986663</v>
      </c>
      <c r="P10" s="21">
        <v>45.186544229448927</v>
      </c>
      <c r="Q10" s="21">
        <v>9.605720705647423</v>
      </c>
      <c r="R10" s="21">
        <v>6.0776037382818755</v>
      </c>
      <c r="S10" s="21">
        <v>8.1515574228661989E-3</v>
      </c>
    </row>
    <row r="11" spans="1:19" x14ac:dyDescent="0.25">
      <c r="A11" s="41" t="s">
        <v>62</v>
      </c>
      <c r="B11">
        <v>48.923144133030476</v>
      </c>
      <c r="C11" s="14">
        <v>48.758443702797777</v>
      </c>
      <c r="D11" s="14">
        <v>48.584398482513656</v>
      </c>
      <c r="E11" s="15">
        <v>49.078413310357519</v>
      </c>
      <c r="F11" s="14">
        <v>49.224285230331297</v>
      </c>
      <c r="G11" s="17">
        <v>49.840849643511199</v>
      </c>
      <c r="H11" s="17">
        <v>49.840849643511199</v>
      </c>
      <c r="I11" s="19">
        <v>45.186544229448927</v>
      </c>
      <c r="J11" s="19">
        <v>41.779823812804047</v>
      </c>
      <c r="K11" s="19">
        <v>53.033897346204583</v>
      </c>
      <c r="L11" s="19">
        <v>57.570561759436835</v>
      </c>
      <c r="N11" s="21">
        <v>-24</v>
      </c>
      <c r="O11" s="21">
        <v>97.689488585426943</v>
      </c>
      <c r="P11" s="21">
        <v>41.779823812804047</v>
      </c>
      <c r="Q11" s="21">
        <v>9.362047995155578</v>
      </c>
      <c r="R11" s="21">
        <v>5.933885219273888</v>
      </c>
      <c r="S11" s="21">
        <v>1.0237635918530047E-2</v>
      </c>
    </row>
    <row r="12" spans="1:19" x14ac:dyDescent="0.25">
      <c r="A12" s="41" t="s">
        <v>63</v>
      </c>
      <c r="B12">
        <v>9.8480858517987073</v>
      </c>
      <c r="C12" s="14">
        <v>9.824769597598225</v>
      </c>
      <c r="D12" s="14">
        <v>9.800107231633028</v>
      </c>
      <c r="E12" s="15">
        <v>9.8700471378156429</v>
      </c>
      <c r="F12" s="14">
        <v>9.8906560152446765</v>
      </c>
      <c r="G12" s="17">
        <v>10.042096208217115</v>
      </c>
      <c r="H12" s="17">
        <v>10.042096208217115</v>
      </c>
      <c r="I12" s="19">
        <v>9.605720705647423</v>
      </c>
      <c r="J12" s="19">
        <v>9.362047995155578</v>
      </c>
      <c r="K12" s="19">
        <v>10.088971690712297</v>
      </c>
      <c r="L12" s="19">
        <v>10.328175156688854</v>
      </c>
      <c r="N12" s="21">
        <v>-39</v>
      </c>
      <c r="O12" s="21">
        <v>143.47654503565082</v>
      </c>
      <c r="P12" s="21">
        <v>53.033897346204583</v>
      </c>
      <c r="Q12" s="21">
        <v>10.088971690712297</v>
      </c>
      <c r="R12" s="21">
        <v>6.3618221579417504</v>
      </c>
      <c r="S12" s="21">
        <v>4.9883508626275856E-3</v>
      </c>
    </row>
    <row r="13" spans="1:19" x14ac:dyDescent="0.25">
      <c r="A13" s="41" t="s">
        <v>64</v>
      </c>
      <c r="B13">
        <v>6.2202766459362033</v>
      </c>
      <c r="C13" s="14">
        <v>6.2025068775436969</v>
      </c>
      <c r="D13" s="14">
        <v>6.1837222907342753</v>
      </c>
      <c r="E13" s="15">
        <v>6.2370231741246549</v>
      </c>
      <c r="F13" s="14">
        <v>6.2527477429354503</v>
      </c>
      <c r="G13" s="17">
        <v>6.3322064539333436</v>
      </c>
      <c r="H13" s="17">
        <v>6.3322064539333436</v>
      </c>
      <c r="I13" s="19">
        <v>6.0776037382818755</v>
      </c>
      <c r="J13" s="19">
        <v>5.933885219273888</v>
      </c>
      <c r="K13" s="19">
        <v>6.3618221579417504</v>
      </c>
      <c r="L13" s="19">
        <v>6.502143841249401</v>
      </c>
      <c r="N13" s="21">
        <v>-44</v>
      </c>
      <c r="O13" s="21">
        <v>164.53934170749019</v>
      </c>
      <c r="P13" s="21">
        <v>57.570561759436835</v>
      </c>
      <c r="Q13" s="21">
        <v>10.328175156688854</v>
      </c>
      <c r="R13" s="21">
        <v>6.502143841249401</v>
      </c>
      <c r="S13" s="21">
        <v>3.8276360728012721E-3</v>
      </c>
    </row>
    <row r="14" spans="1:19" x14ac:dyDescent="0.25">
      <c r="A14" s="41" t="s">
        <v>65</v>
      </c>
      <c r="B14">
        <v>6.4161070248325439E-3</v>
      </c>
      <c r="C14" s="14">
        <v>6.4165823400756088E-3</v>
      </c>
      <c r="D14" s="14">
        <v>6.4170987034501241E-3</v>
      </c>
      <c r="E14" s="15">
        <v>6.4156701616744066E-3</v>
      </c>
      <c r="F14" s="14">
        <v>6.4152695190434058E-3</v>
      </c>
      <c r="G14" s="17">
        <v>6.5352637070387248E-3</v>
      </c>
      <c r="H14" s="17">
        <v>6.5352637070387248E-3</v>
      </c>
      <c r="I14" s="19">
        <v>8.1515574228661989E-3</v>
      </c>
      <c r="J14" s="19">
        <v>1.0237635918530047E-2</v>
      </c>
      <c r="K14" s="19">
        <v>4.9883508626275856E-3</v>
      </c>
      <c r="L14" s="19">
        <v>3.8276360728012721E-3</v>
      </c>
    </row>
    <row r="15" spans="1:19" x14ac:dyDescent="0.25">
      <c r="A15" s="41" t="s">
        <v>97</v>
      </c>
      <c r="C15" s="16">
        <f t="shared" ref="C15:L15" si="0">(C10-$B10)/$B10</f>
        <v>-2.9904494224162995E-3</v>
      </c>
      <c r="D15" s="16">
        <f t="shared" si="0"/>
        <v>-6.152223671954918E-3</v>
      </c>
      <c r="E15" s="16">
        <f t="shared" si="0"/>
        <v>2.8178013543003312E-3</v>
      </c>
      <c r="F15" s="16">
        <f t="shared" si="0"/>
        <v>5.4637233073672863E-3</v>
      </c>
      <c r="G15" s="18">
        <f t="shared" si="0"/>
        <v>2.0662531892132484E-2</v>
      </c>
      <c r="H15" s="18">
        <f t="shared" si="0"/>
        <v>2.0662531892132484E-2</v>
      </c>
      <c r="I15" s="20">
        <f t="shared" si="0"/>
        <v>-0.12014996158878362</v>
      </c>
      <c r="J15" s="20">
        <f t="shared" si="0"/>
        <v>-0.22281917563390252</v>
      </c>
      <c r="K15" s="20">
        <f t="shared" si="0"/>
        <v>0.14144542225232778</v>
      </c>
      <c r="L15" s="20">
        <f t="shared" si="0"/>
        <v>0.30901310960449185</v>
      </c>
    </row>
    <row r="16" spans="1:19" x14ac:dyDescent="0.25">
      <c r="A16" s="41" t="s">
        <v>98</v>
      </c>
      <c r="C16" s="16">
        <f t="shared" ref="C16:L16" si="1">(C11-$B11)/$B11</f>
        <v>-3.3665136031496706E-3</v>
      </c>
      <c r="D16" s="16">
        <f t="shared" si="1"/>
        <v>-6.924036803434226E-3</v>
      </c>
      <c r="E16" s="16">
        <f t="shared" si="1"/>
        <v>3.1737366859504938E-3</v>
      </c>
      <c r="F16" s="16">
        <f t="shared" si="1"/>
        <v>6.1553913313904442E-3</v>
      </c>
      <c r="G16" s="18">
        <f t="shared" si="1"/>
        <v>1.8758105733869487E-2</v>
      </c>
      <c r="H16" s="18">
        <f t="shared" si="1"/>
        <v>1.8758105733869487E-2</v>
      </c>
      <c r="I16" s="20">
        <f t="shared" si="1"/>
        <v>-7.637693712859274E-2</v>
      </c>
      <c r="J16" s="20">
        <f t="shared" si="1"/>
        <v>-0.14601106381884427</v>
      </c>
      <c r="K16" s="20">
        <f t="shared" si="1"/>
        <v>8.4024714396855993E-2</v>
      </c>
      <c r="L16" s="20">
        <f t="shared" si="1"/>
        <v>0.17675514891055524</v>
      </c>
      <c r="N16" s="9" t="s">
        <v>33</v>
      </c>
      <c r="O16" s="9">
        <f>SLOPE(O9:O13,$N9:$N13)</f>
        <v>-3.3316305065982137</v>
      </c>
      <c r="P16" s="9">
        <f>SLOPE(P9:P13,$N9:$N13)</f>
        <v>-0.78857658020042465</v>
      </c>
      <c r="Q16" s="9">
        <f>SLOPE(Q9:Q13,$N9:$N13)</f>
        <v>-4.8310106162628513E-2</v>
      </c>
      <c r="R16" s="9">
        <f>SLOPE(R9:R13,$N9:$N13)</f>
        <v>-2.841471327221802E-2</v>
      </c>
      <c r="S16" s="13">
        <f>SLOPE(S9:S13,$N9:$N13)</f>
        <v>3.1966412503392326E-4</v>
      </c>
    </row>
    <row r="17" spans="1:19" x14ac:dyDescent="0.25">
      <c r="A17" s="41" t="s">
        <v>99</v>
      </c>
      <c r="C17" s="16">
        <f t="shared" ref="C17:L17" si="2">(C12-$B12)/$B12</f>
        <v>-2.367592499838304E-3</v>
      </c>
      <c r="D17" s="16">
        <f t="shared" si="2"/>
        <v>-4.871872655021205E-3</v>
      </c>
      <c r="E17" s="16">
        <f t="shared" si="2"/>
        <v>2.2300055409168128E-3</v>
      </c>
      <c r="F17" s="16">
        <f t="shared" si="2"/>
        <v>4.3226840308458478E-3</v>
      </c>
      <c r="G17" s="18">
        <f t="shared" si="2"/>
        <v>1.9700311242003749E-2</v>
      </c>
      <c r="H17" s="18">
        <f t="shared" si="2"/>
        <v>1.9700311242003749E-2</v>
      </c>
      <c r="I17" s="20">
        <f t="shared" si="2"/>
        <v>-2.4610381123659424E-2</v>
      </c>
      <c r="J17" s="20">
        <f t="shared" si="2"/>
        <v>-4.9353535697940411E-2</v>
      </c>
      <c r="K17" s="20">
        <f t="shared" si="2"/>
        <v>2.4460168456958874E-2</v>
      </c>
      <c r="L17" s="20">
        <f t="shared" si="2"/>
        <v>4.8749504433134118E-2</v>
      </c>
      <c r="N17" s="9" t="s">
        <v>34</v>
      </c>
      <c r="O17" s="6">
        <f>INDEX(LINEST(O9:O13,$N9:$N13,TRUE),2)</f>
        <v>15.124032060605956</v>
      </c>
      <c r="P17" s="6">
        <f>INDEX(LINEST(P9:P13,$N9:$N13,TRUE),2)</f>
        <v>22.487190528602152</v>
      </c>
      <c r="Q17" s="6">
        <f>INDEX(LINEST(Q9:Q13,$N9:$N13,TRUE),2)</f>
        <v>8.2040566697182165</v>
      </c>
      <c r="R17" s="6">
        <f>INDEX(LINEST(R9:R13,$N9:$N13,TRUE),2)</f>
        <v>5.2530460688070058</v>
      </c>
      <c r="S17" s="6">
        <f>INDEX(LINEST(S9:S13,$N9:$N13,TRUE),2)</f>
        <v>1.7592837711487237E-2</v>
      </c>
    </row>
    <row r="18" spans="1:19" x14ac:dyDescent="0.25">
      <c r="A18" s="41" t="s">
        <v>100</v>
      </c>
      <c r="C18" s="16">
        <f t="shared" ref="C18:L18" si="3">(C13-$B13)/$B13</f>
        <v>-2.8567488881890298E-3</v>
      </c>
      <c r="D18" s="16">
        <f t="shared" si="3"/>
        <v>-5.8766446064435988E-3</v>
      </c>
      <c r="E18" s="16">
        <f t="shared" si="3"/>
        <v>2.6922481332711011E-3</v>
      </c>
      <c r="F18" s="16">
        <f t="shared" si="3"/>
        <v>5.2202014231088629E-3</v>
      </c>
      <c r="G18" s="18">
        <f t="shared" si="3"/>
        <v>1.7994345648640178E-2</v>
      </c>
      <c r="H18" s="18">
        <f t="shared" si="3"/>
        <v>1.7994345648640178E-2</v>
      </c>
      <c r="I18" s="20">
        <f t="shared" si="3"/>
        <v>-2.29367463499454E-2</v>
      </c>
      <c r="J18" s="20">
        <f t="shared" si="3"/>
        <v>-4.6041589942694749E-2</v>
      </c>
      <c r="K18" s="20">
        <f t="shared" si="3"/>
        <v>2.2755501091421847E-2</v>
      </c>
      <c r="L18" s="20">
        <f t="shared" si="3"/>
        <v>4.5314253908199667E-2</v>
      </c>
      <c r="N18" s="10" t="s">
        <v>35</v>
      </c>
      <c r="O18">
        <f>INDEX(LINEST(O9:O13,$N9:$N13,TRUE,TRUE),3)</f>
        <v>0.99075916101998018</v>
      </c>
      <c r="P18">
        <f>INDEX(LINEST(P9:P13,$N9:$N13,TRUE,TRUE),3)</f>
        <v>0.99681644270675762</v>
      </c>
      <c r="Q18">
        <f>INDEX(LINEST(Q9:Q13,$N9:$N13,TRUE,TRUE),3)</f>
        <v>0.99998668968399129</v>
      </c>
      <c r="R18">
        <f>INDEX(LINEST(R9:R13,$N9:$N13,TRUE,TRUE),3)</f>
        <v>0.9999777817125497</v>
      </c>
      <c r="S18">
        <f>INDEX(LINEST(S9:S13,$N9:$N13,TRUE,TRUE),3)</f>
        <v>0.98711467686628351</v>
      </c>
    </row>
    <row r="19" spans="1:19" x14ac:dyDescent="0.25">
      <c r="A19" s="41" t="s">
        <v>101</v>
      </c>
      <c r="C19" s="16">
        <f t="shared" ref="C19:L19" si="4">(C14-$B14)/$B14</f>
        <v>7.4081563980355457E-5</v>
      </c>
      <c r="D19" s="16">
        <f t="shared" si="4"/>
        <v>1.545607973405151E-4</v>
      </c>
      <c r="E19" s="16">
        <f t="shared" si="4"/>
        <v>-6.808850856859593E-5</v>
      </c>
      <c r="F19" s="16">
        <f t="shared" si="4"/>
        <v>-1.3053176730011312E-4</v>
      </c>
      <c r="G19" s="18">
        <f t="shared" si="4"/>
        <v>1.8571492299770485E-2</v>
      </c>
      <c r="H19" s="18">
        <f t="shared" si="4"/>
        <v>1.8571492299770485E-2</v>
      </c>
      <c r="I19" s="20">
        <f t="shared" si="4"/>
        <v>0.27048339301649182</v>
      </c>
      <c r="J19" s="20">
        <f t="shared" si="4"/>
        <v>0.59561489216231434</v>
      </c>
      <c r="K19" s="20">
        <f t="shared" si="4"/>
        <v>-0.22252686195524018</v>
      </c>
      <c r="L19" s="20">
        <f t="shared" si="4"/>
        <v>-0.40343325664815094</v>
      </c>
    </row>
    <row r="21" spans="1:19" x14ac:dyDescent="0.25">
      <c r="H21" s="21">
        <v>34</v>
      </c>
      <c r="I21" s="21">
        <v>29</v>
      </c>
      <c r="J21" s="21">
        <v>24</v>
      </c>
      <c r="K21" s="21">
        <v>39</v>
      </c>
      <c r="L21" s="21">
        <v>44</v>
      </c>
    </row>
    <row r="22" spans="1:19" x14ac:dyDescent="0.25">
      <c r="H22" s="22">
        <v>125.69724514629168</v>
      </c>
      <c r="I22" s="21">
        <v>110.59472594986663</v>
      </c>
      <c r="J22" s="21">
        <v>97.689488585426943</v>
      </c>
      <c r="K22" s="21">
        <v>143.47654503565082</v>
      </c>
      <c r="L22" s="21">
        <v>164.53934170749019</v>
      </c>
      <c r="O22" t="s">
        <v>119</v>
      </c>
      <c r="P22" t="s">
        <v>118</v>
      </c>
      <c r="Q22" t="s">
        <v>10</v>
      </c>
      <c r="R22" t="s">
        <v>60</v>
      </c>
    </row>
    <row r="23" spans="1:19" x14ac:dyDescent="0.25">
      <c r="H23" s="22">
        <v>48.923144129188628</v>
      </c>
      <c r="I23" s="21">
        <v>45.186544229448927</v>
      </c>
      <c r="J23" s="21">
        <v>41.779823812804047</v>
      </c>
      <c r="K23" s="21">
        <v>53.033897346204583</v>
      </c>
      <c r="L23" s="21">
        <v>57.570561759436835</v>
      </c>
      <c r="N23" s="44" t="s">
        <v>61</v>
      </c>
      <c r="O23" s="22">
        <v>125.69724514629168</v>
      </c>
      <c r="P23">
        <f>$N9*$O$16+$O$17</f>
        <v>128.39946928494521</v>
      </c>
      <c r="Q23" s="1">
        <f>ABS(P23-O23)/O23</f>
        <v>2.1497878776170262E-2</v>
      </c>
      <c r="R23" s="21">
        <v>-34</v>
      </c>
    </row>
    <row r="24" spans="1:19" x14ac:dyDescent="0.25">
      <c r="H24" s="22">
        <v>9.8480858480337741</v>
      </c>
      <c r="I24" s="21">
        <v>9.605720705647423</v>
      </c>
      <c r="J24" s="21">
        <v>9.362047995155578</v>
      </c>
      <c r="K24" s="21">
        <v>10.088971690712297</v>
      </c>
      <c r="L24" s="21">
        <v>10.328175156688854</v>
      </c>
      <c r="N24" s="44"/>
      <c r="O24" s="21">
        <v>110.59472594986663</v>
      </c>
      <c r="P24">
        <f t="shared" ref="P24:P27" si="5">$N10*$O$16+$O$17</f>
        <v>111.74131675195416</v>
      </c>
      <c r="Q24" s="1">
        <f t="shared" ref="Q24:Q47" si="6">ABS(P24-O24)/O24</f>
        <v>1.0367499826413858E-2</v>
      </c>
      <c r="R24" s="21">
        <v>-29</v>
      </c>
    </row>
    <row r="25" spans="1:19" x14ac:dyDescent="0.25">
      <c r="H25" s="22">
        <v>6.2202766435651782</v>
      </c>
      <c r="I25" s="21">
        <v>6.0776037382818755</v>
      </c>
      <c r="J25" s="21">
        <v>5.933885219273888</v>
      </c>
      <c r="K25" s="21">
        <v>6.3618221579417504</v>
      </c>
      <c r="L25" s="21">
        <v>6.502143841249401</v>
      </c>
      <c r="N25" s="44"/>
      <c r="O25" s="21">
        <v>97.689488585426943</v>
      </c>
      <c r="P25">
        <f t="shared" si="5"/>
        <v>95.083164218963091</v>
      </c>
      <c r="Q25" s="1">
        <f t="shared" si="6"/>
        <v>2.6679680733354319E-2</v>
      </c>
      <c r="R25" s="21">
        <v>-24</v>
      </c>
    </row>
    <row r="26" spans="1:19" x14ac:dyDescent="0.25">
      <c r="H26" s="22">
        <v>6.416107024844105E-3</v>
      </c>
      <c r="I26" s="21">
        <v>8.1515574228661989E-3</v>
      </c>
      <c r="J26" s="21">
        <v>1.0237635918530047E-2</v>
      </c>
      <c r="K26" s="21">
        <v>4.9883508626275856E-3</v>
      </c>
      <c r="L26" s="21">
        <v>3.8276360728012721E-3</v>
      </c>
      <c r="N26" s="44"/>
      <c r="O26" s="21">
        <v>143.47654503565082</v>
      </c>
      <c r="P26">
        <f t="shared" si="5"/>
        <v>145.05762181793631</v>
      </c>
      <c r="Q26" s="1">
        <f t="shared" si="6"/>
        <v>1.1019757841901123E-2</v>
      </c>
      <c r="R26" s="21">
        <v>-39</v>
      </c>
    </row>
    <row r="27" spans="1:19" x14ac:dyDescent="0.25">
      <c r="N27" s="44"/>
      <c r="O27" s="21">
        <v>164.53934170749019</v>
      </c>
      <c r="P27">
        <f t="shared" si="5"/>
        <v>161.71577435092735</v>
      </c>
      <c r="Q27" s="1">
        <f t="shared" si="6"/>
        <v>1.7160439122106397E-2</v>
      </c>
      <c r="R27" s="21">
        <v>-44</v>
      </c>
    </row>
    <row r="28" spans="1:19" x14ac:dyDescent="0.25">
      <c r="N28" s="44" t="s">
        <v>62</v>
      </c>
      <c r="O28" s="22">
        <v>48.923144129188628</v>
      </c>
      <c r="P28">
        <f>$N9*$P$16+$P$17</f>
        <v>49.298794255416595</v>
      </c>
      <c r="Q28" s="1">
        <f t="shared" si="6"/>
        <v>7.6783725354202213E-3</v>
      </c>
      <c r="R28" s="21">
        <v>-34</v>
      </c>
    </row>
    <row r="29" spans="1:19" x14ac:dyDescent="0.25">
      <c r="N29" s="44"/>
      <c r="O29" s="21">
        <v>45.186544229448927</v>
      </c>
      <c r="P29">
        <f t="shared" ref="P29:P32" si="7">$N10*$P$16+$P$17</f>
        <v>45.355911354414467</v>
      </c>
      <c r="Q29" s="1">
        <f t="shared" si="6"/>
        <v>3.7481760965283055E-3</v>
      </c>
      <c r="R29" s="21">
        <v>-29</v>
      </c>
    </row>
    <row r="30" spans="1:19" x14ac:dyDescent="0.25">
      <c r="N30" s="44"/>
      <c r="O30" s="21">
        <v>41.779823812804047</v>
      </c>
      <c r="P30">
        <f t="shared" si="7"/>
        <v>41.413028453412345</v>
      </c>
      <c r="Q30" s="1">
        <f t="shared" si="6"/>
        <v>8.7792461987188201E-3</v>
      </c>
      <c r="R30" s="21">
        <v>-24</v>
      </c>
    </row>
    <row r="31" spans="1:19" x14ac:dyDescent="0.25">
      <c r="N31" s="44"/>
      <c r="O31" s="21">
        <v>53.033897346204583</v>
      </c>
      <c r="P31">
        <f t="shared" si="7"/>
        <v>53.241677156418717</v>
      </c>
      <c r="Q31" s="1">
        <f t="shared" si="6"/>
        <v>3.9178680167092101E-3</v>
      </c>
      <c r="R31" s="21">
        <v>-39</v>
      </c>
    </row>
    <row r="32" spans="1:19" x14ac:dyDescent="0.25">
      <c r="N32" s="44"/>
      <c r="O32" s="21">
        <v>57.570561759436835</v>
      </c>
      <c r="P32">
        <f t="shared" si="7"/>
        <v>57.184560057420839</v>
      </c>
      <c r="Q32" s="1">
        <f t="shared" si="6"/>
        <v>6.7048451538293929E-3</v>
      </c>
      <c r="R32" s="21">
        <v>-44</v>
      </c>
    </row>
    <row r="33" spans="14:18" x14ac:dyDescent="0.25">
      <c r="N33" s="44" t="s">
        <v>63</v>
      </c>
      <c r="O33" s="22">
        <v>9.8480858480337741</v>
      </c>
      <c r="P33">
        <f>$N9*$Q$16+$Q$17</f>
        <v>9.8466002792475855</v>
      </c>
      <c r="Q33" s="1">
        <f t="shared" si="6"/>
        <v>1.5084848051818655E-4</v>
      </c>
      <c r="R33" s="21">
        <v>-34</v>
      </c>
    </row>
    <row r="34" spans="14:18" x14ac:dyDescent="0.25">
      <c r="N34" s="44"/>
      <c r="O34" s="21">
        <v>9.605720705647423</v>
      </c>
      <c r="P34">
        <f t="shared" ref="P34:P37" si="8">$N10*$Q$16+$Q$17</f>
        <v>9.6050497484344426</v>
      </c>
      <c r="Q34" s="1">
        <f t="shared" si="6"/>
        <v>6.9849752407012211E-5</v>
      </c>
      <c r="R34" s="21">
        <v>-29</v>
      </c>
    </row>
    <row r="35" spans="14:18" x14ac:dyDescent="0.25">
      <c r="N35" s="44"/>
      <c r="O35" s="21">
        <v>9.362047995155578</v>
      </c>
      <c r="P35">
        <f t="shared" si="8"/>
        <v>9.3634992176213014</v>
      </c>
      <c r="Q35" s="1">
        <f t="shared" si="6"/>
        <v>1.5501121832257528E-4</v>
      </c>
      <c r="R35" s="21">
        <v>-24</v>
      </c>
    </row>
    <row r="36" spans="14:18" x14ac:dyDescent="0.25">
      <c r="N36" s="44"/>
      <c r="O36" s="21">
        <v>10.088971690712297</v>
      </c>
      <c r="P36">
        <f t="shared" si="8"/>
        <v>10.088150810060728</v>
      </c>
      <c r="Q36" s="1">
        <f t="shared" si="6"/>
        <v>8.1364154517777739E-5</v>
      </c>
      <c r="R36" s="21">
        <v>-39</v>
      </c>
    </row>
    <row r="37" spans="14:18" x14ac:dyDescent="0.25">
      <c r="N37" s="44"/>
      <c r="O37" s="21">
        <v>10.328175156688854</v>
      </c>
      <c r="P37">
        <f t="shared" si="8"/>
        <v>10.329701340873871</v>
      </c>
      <c r="Q37" s="1">
        <f t="shared" si="6"/>
        <v>1.4776900680554329E-4</v>
      </c>
      <c r="R37" s="21">
        <v>-44</v>
      </c>
    </row>
    <row r="38" spans="14:18" x14ac:dyDescent="0.25">
      <c r="N38" s="44" t="s">
        <v>64</v>
      </c>
      <c r="O38" s="22">
        <v>6.2202766435651782</v>
      </c>
      <c r="P38">
        <f>$N9*$R$16+$R$17</f>
        <v>6.2191463200624186</v>
      </c>
      <c r="Q38" s="1">
        <f t="shared" si="6"/>
        <v>1.8171595373155222E-4</v>
      </c>
      <c r="R38" s="21">
        <v>-34</v>
      </c>
    </row>
    <row r="39" spans="14:18" x14ac:dyDescent="0.25">
      <c r="N39" s="44"/>
      <c r="O39" s="21">
        <v>6.0776037382818755</v>
      </c>
      <c r="P39">
        <f t="shared" ref="P39:P42" si="9">$N10*$R$16+$R$17</f>
        <v>6.0770727537013283</v>
      </c>
      <c r="Q39" s="1">
        <f t="shared" si="6"/>
        <v>8.7367423644724436E-5</v>
      </c>
      <c r="R39" s="21">
        <v>-29</v>
      </c>
    </row>
    <row r="40" spans="14:18" x14ac:dyDescent="0.25">
      <c r="N40" s="44"/>
      <c r="O40" s="21">
        <v>5.933885219273888</v>
      </c>
      <c r="P40">
        <f t="shared" si="9"/>
        <v>5.9349991873402379</v>
      </c>
      <c r="Q40" s="1">
        <f t="shared" si="6"/>
        <v>1.877299653069804E-4</v>
      </c>
      <c r="R40" s="21">
        <v>-24</v>
      </c>
    </row>
    <row r="41" spans="14:18" x14ac:dyDescent="0.25">
      <c r="N41" s="44"/>
      <c r="O41" s="21">
        <v>6.3618221579417504</v>
      </c>
      <c r="P41">
        <f t="shared" si="9"/>
        <v>6.361219886423509</v>
      </c>
      <c r="Q41" s="1">
        <f t="shared" si="6"/>
        <v>9.4669656474064519E-5</v>
      </c>
      <c r="R41" s="21">
        <v>-39</v>
      </c>
    </row>
    <row r="42" spans="14:18" x14ac:dyDescent="0.25">
      <c r="N42" s="44"/>
      <c r="O42" s="21">
        <v>6.502143841249401</v>
      </c>
      <c r="P42">
        <f t="shared" si="9"/>
        <v>6.5032934527845985</v>
      </c>
      <c r="Q42" s="1">
        <f t="shared" si="6"/>
        <v>1.7680499897654317E-4</v>
      </c>
      <c r="R42" s="21">
        <v>-44</v>
      </c>
    </row>
    <row r="43" spans="14:18" x14ac:dyDescent="0.25">
      <c r="N43" s="44" t="s">
        <v>65</v>
      </c>
      <c r="O43" s="22">
        <v>6.416107024844105E-3</v>
      </c>
      <c r="P43">
        <f>$N9*$S$16+$S$17</f>
        <v>6.7242574603338465E-3</v>
      </c>
      <c r="Q43" s="1">
        <f t="shared" si="6"/>
        <v>4.8027633313555716E-2</v>
      </c>
      <c r="R43" s="21">
        <v>-34</v>
      </c>
    </row>
    <row r="44" spans="14:18" x14ac:dyDescent="0.25">
      <c r="N44" s="44"/>
      <c r="O44" s="21">
        <v>8.1515574228661989E-3</v>
      </c>
      <c r="P44">
        <f>$N10*$S$16+$S$17</f>
        <v>8.3225780855034626E-3</v>
      </c>
      <c r="Q44" s="1">
        <f t="shared" si="6"/>
        <v>2.0980121192243344E-2</v>
      </c>
      <c r="R44" s="21">
        <v>-29</v>
      </c>
    </row>
    <row r="45" spans="14:18" x14ac:dyDescent="0.25">
      <c r="N45" s="44"/>
      <c r="O45" s="21">
        <v>1.0237635918530047E-2</v>
      </c>
      <c r="P45">
        <f>$N11*$S$16+$S$17</f>
        <v>9.9208987106730786E-3</v>
      </c>
      <c r="Q45" s="1">
        <f t="shared" si="6"/>
        <v>3.0938510646161644E-2</v>
      </c>
      <c r="R45" s="21">
        <v>-24</v>
      </c>
    </row>
    <row r="46" spans="14:18" x14ac:dyDescent="0.25">
      <c r="N46" s="44"/>
      <c r="O46" s="21">
        <v>4.9883508626275856E-3</v>
      </c>
      <c r="P46">
        <f>$N12*$S$16+$S$17</f>
        <v>5.1259368351642305E-3</v>
      </c>
      <c r="Q46" s="1">
        <f t="shared" si="6"/>
        <v>2.7581454537897579E-2</v>
      </c>
      <c r="R46" s="21">
        <v>-39</v>
      </c>
    </row>
    <row r="47" spans="14:18" x14ac:dyDescent="0.25">
      <c r="N47" s="44"/>
      <c r="O47" s="21">
        <v>3.8276360728012721E-3</v>
      </c>
      <c r="P47">
        <f>$N13*$S$16+$S$17</f>
        <v>3.5276162099946145E-3</v>
      </c>
      <c r="Q47" s="1">
        <f t="shared" si="6"/>
        <v>7.8382546590195223E-2</v>
      </c>
      <c r="R47" s="21">
        <v>-44</v>
      </c>
    </row>
  </sheetData>
  <mergeCells count="8">
    <mergeCell ref="N33:N37"/>
    <mergeCell ref="N38:N42"/>
    <mergeCell ref="N43:N47"/>
    <mergeCell ref="C8:F8"/>
    <mergeCell ref="G8:H8"/>
    <mergeCell ref="I8:L8"/>
    <mergeCell ref="N23:N27"/>
    <mergeCell ref="N28:N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O32"/>
  <sheetViews>
    <sheetView topLeftCell="A15" workbookViewId="0">
      <selection activeCell="F31" sqref="F31"/>
    </sheetView>
  </sheetViews>
  <sheetFormatPr defaultRowHeight="15" x14ac:dyDescent="0.25"/>
  <cols>
    <col min="1" max="1" width="28.140625" customWidth="1"/>
    <col min="2" max="2" width="32.42578125" customWidth="1"/>
    <col min="3" max="3" width="13.7109375" bestFit="1" customWidth="1"/>
    <col min="4" max="4" width="17.7109375" bestFit="1" customWidth="1"/>
    <col min="8" max="8" width="8.7109375" bestFit="1" customWidth="1"/>
    <col min="9" max="9" width="13.140625" bestFit="1" customWidth="1"/>
    <col min="10" max="10" width="13.7109375" bestFit="1" customWidth="1"/>
    <col min="11" max="11" width="17.7109375" bestFit="1" customWidth="1"/>
  </cols>
  <sheetData>
    <row r="1" spans="1:15" x14ac:dyDescent="0.25">
      <c r="A1" s="28" t="s">
        <v>91</v>
      </c>
      <c r="B1" s="29"/>
      <c r="C1" s="29"/>
      <c r="D1" s="29"/>
      <c r="E1" s="29"/>
      <c r="F1" s="29"/>
      <c r="G1" s="29"/>
      <c r="H1" s="30"/>
    </row>
    <row r="2" spans="1:15" x14ac:dyDescent="0.25">
      <c r="A2" s="31" t="s">
        <v>87</v>
      </c>
      <c r="B2" s="27"/>
      <c r="C2" s="27"/>
      <c r="D2" s="27"/>
      <c r="E2" s="27"/>
      <c r="F2" s="27"/>
      <c r="G2" s="27"/>
      <c r="H2" s="32"/>
    </row>
    <row r="3" spans="1:15" x14ac:dyDescent="0.25">
      <c r="A3" s="35" t="s">
        <v>88</v>
      </c>
      <c r="B3" s="33"/>
      <c r="C3" s="33"/>
      <c r="D3" s="33"/>
      <c r="E3" s="33"/>
      <c r="F3" s="33"/>
      <c r="G3" s="33"/>
      <c r="H3" s="34"/>
    </row>
    <row r="4" spans="1:15" x14ac:dyDescent="0.25">
      <c r="A4" t="s">
        <v>69</v>
      </c>
      <c r="B4" t="s">
        <v>46</v>
      </c>
    </row>
    <row r="5" spans="1:15" x14ac:dyDescent="0.25">
      <c r="A5" s="43" t="s">
        <v>37</v>
      </c>
      <c r="B5" s="43"/>
      <c r="C5" s="12"/>
      <c r="D5" s="12"/>
      <c r="E5" s="43" t="s">
        <v>38</v>
      </c>
      <c r="F5" s="43"/>
      <c r="G5" s="12"/>
      <c r="H5" s="12"/>
      <c r="J5" s="12"/>
      <c r="K5" s="12"/>
      <c r="L5" s="12"/>
      <c r="M5" s="12"/>
      <c r="N5" s="12"/>
      <c r="O5" s="12"/>
    </row>
    <row r="6" spans="1:15" x14ac:dyDescent="0.25">
      <c r="A6" t="s">
        <v>39</v>
      </c>
      <c r="B6" t="s">
        <v>60</v>
      </c>
      <c r="C6" t="s">
        <v>128</v>
      </c>
      <c r="D6" t="s">
        <v>10</v>
      </c>
      <c r="E6" t="s">
        <v>39</v>
      </c>
      <c r="F6" t="s">
        <v>60</v>
      </c>
      <c r="H6" t="s">
        <v>10</v>
      </c>
    </row>
    <row r="8" spans="1:15" x14ac:dyDescent="0.25">
      <c r="A8">
        <v>210.00000000000003</v>
      </c>
      <c r="B8">
        <f>453.929189904023 -27</f>
        <v>426.92918990402302</v>
      </c>
      <c r="C8">
        <f>A8*$B$14+$B$15</f>
        <v>426.84268640416479</v>
      </c>
      <c r="D8" s="2">
        <f>ABS(B8-C8)/B8</f>
        <v>2.0261790925486084E-4</v>
      </c>
      <c r="E8">
        <v>210.00000000000003</v>
      </c>
      <c r="F8">
        <f>-30.0149727869388 +34</f>
        <v>3.9850272130612012</v>
      </c>
      <c r="G8">
        <f>E8*$F$14+$F$15</f>
        <v>3.9551155564707301</v>
      </c>
      <c r="H8" s="42">
        <f>ABS(F8-G8)/F8</f>
        <v>7.5060106220689307E-3</v>
      </c>
    </row>
    <row r="9" spans="1:15" x14ac:dyDescent="0.25">
      <c r="A9">
        <v>205.00000000000003</v>
      </c>
      <c r="B9">
        <f>449.010234411418-27</f>
        <v>422.01023441141803</v>
      </c>
      <c r="C9">
        <f t="shared" ref="C9:C12" si="0">A9*$B$14+$B$15</f>
        <v>421.96554385912009</v>
      </c>
      <c r="D9" s="2">
        <f t="shared" ref="D9:D12" si="1">ABS(B9-C9)/B9</f>
        <v>1.0589921441186554E-4</v>
      </c>
      <c r="E9">
        <v>205.00000000000003</v>
      </c>
      <c r="F9">
        <f>-31.7729974602315+34</f>
        <v>2.2270025397684989</v>
      </c>
      <c r="G9">
        <f t="shared" ref="G9:G12" si="2">E9*$F$14+$F$15</f>
        <v>2.2115502543418728</v>
      </c>
      <c r="H9" s="42">
        <f t="shared" ref="H9:H12" si="3">ABS(F9-G9)/F9</f>
        <v>6.9386025164715022E-3</v>
      </c>
    </row>
    <row r="10" spans="1:15" x14ac:dyDescent="0.25">
      <c r="A10">
        <v>200.00000000000003</v>
      </c>
      <c r="B10">
        <f>444.001164632583-27</f>
        <v>417.00116463258303</v>
      </c>
      <c r="C10">
        <f t="shared" si="0"/>
        <v>417.08840131407544</v>
      </c>
      <c r="D10" s="2">
        <f t="shared" si="1"/>
        <v>2.092000907701952E-4</v>
      </c>
      <c r="E10">
        <v>200.00000000000003</v>
      </c>
      <c r="F10">
        <f>-33.5621789096188+34</f>
        <v>0.43782109038119899</v>
      </c>
      <c r="G10">
        <f t="shared" si="2"/>
        <v>0.4679849522130155</v>
      </c>
      <c r="H10" s="42">
        <f t="shared" si="3"/>
        <v>6.8895406124802397E-2</v>
      </c>
    </row>
    <row r="11" spans="1:15" x14ac:dyDescent="0.25">
      <c r="A11">
        <v>215.00000000000003</v>
      </c>
      <c r="B11">
        <f>458.761697018569-27</f>
        <v>431.76169701856901</v>
      </c>
      <c r="C11">
        <f t="shared" si="0"/>
        <v>431.7198289492095</v>
      </c>
      <c r="D11" s="2">
        <f t="shared" si="1"/>
        <v>9.6970318693435697E-5</v>
      </c>
      <c r="E11">
        <v>215.00000000000003</v>
      </c>
      <c r="F11">
        <f>-28.2868438635337+34</f>
        <v>5.7131561364662993</v>
      </c>
      <c r="G11">
        <f t="shared" si="2"/>
        <v>5.6986808585995874</v>
      </c>
      <c r="H11" s="42">
        <f t="shared" si="3"/>
        <v>2.5336744736098051E-3</v>
      </c>
    </row>
    <row r="12" spans="1:15" x14ac:dyDescent="0.25">
      <c r="A12">
        <v>220.00000000000003</v>
      </c>
      <c r="B12">
        <f>463.511146054231-27</f>
        <v>436.51114605423101</v>
      </c>
      <c r="C12">
        <f t="shared" si="0"/>
        <v>436.59697149425421</v>
      </c>
      <c r="D12" s="2">
        <f t="shared" si="1"/>
        <v>1.9661683510032796E-4</v>
      </c>
      <c r="E12">
        <v>220.00000000000003</v>
      </c>
      <c r="F12">
        <f>-26.5874291973234+34</f>
        <v>7.4125708026766013</v>
      </c>
      <c r="G12">
        <f t="shared" si="2"/>
        <v>7.4422461607284589</v>
      </c>
      <c r="H12" s="42">
        <f t="shared" si="3"/>
        <v>4.0033827455843198E-3</v>
      </c>
    </row>
    <row r="13" spans="1:15" x14ac:dyDescent="0.25">
      <c r="A13" s="43" t="s">
        <v>90</v>
      </c>
      <c r="B13" s="43"/>
      <c r="E13" s="43" t="s">
        <v>90</v>
      </c>
      <c r="F13" s="43"/>
      <c r="G13" s="43"/>
    </row>
    <row r="14" spans="1:15" x14ac:dyDescent="0.25">
      <c r="A14" t="s">
        <v>33</v>
      </c>
      <c r="B14">
        <f>SLOPE(B8:B12,A8:A12)</f>
        <v>0.97542850900893885</v>
      </c>
      <c r="F14">
        <f>SLOPE(F8:F12,E8:E12)</f>
        <v>0.34871306042577216</v>
      </c>
    </row>
    <row r="15" spans="1:15" x14ac:dyDescent="0.25">
      <c r="A15" t="s">
        <v>34</v>
      </c>
      <c r="B15" s="6">
        <f>INDEX(LINEST(B8:B12,A8:A12,TRUE),2)</f>
        <v>222.00269951228762</v>
      </c>
      <c r="F15" s="6">
        <f>INDEX(LINEST(F8:F12,E8:E12,TRUE),2)</f>
        <v>-69.274627132941433</v>
      </c>
      <c r="G15" s="6">
        <f>F15+273</f>
        <v>203.72537286705858</v>
      </c>
    </row>
    <row r="16" spans="1:15" x14ac:dyDescent="0.25">
      <c r="A16" t="s">
        <v>89</v>
      </c>
      <c r="B16" s="6">
        <f>INDEX(LINEST(B8:B12,A8:A12,TRUE,TRUE),3)</f>
        <v>0.99988982670003768</v>
      </c>
      <c r="F16" s="6">
        <f>INDEX(LINEST(F8:F12,E8:E12,TRUE,TRUE),3)</f>
        <v>0.99989693566106042</v>
      </c>
    </row>
    <row r="17" spans="1:6" x14ac:dyDescent="0.25">
      <c r="F17">
        <f>F14*E8+F15-34</f>
        <v>-30.04488444352927</v>
      </c>
    </row>
    <row r="19" spans="1:6" x14ac:dyDescent="0.25">
      <c r="A19" t="s">
        <v>86</v>
      </c>
    </row>
    <row r="20" spans="1:6" x14ac:dyDescent="0.25">
      <c r="A20" t="s">
        <v>66</v>
      </c>
      <c r="B20">
        <v>0.4</v>
      </c>
    </row>
    <row r="21" spans="1:6" x14ac:dyDescent="0.25">
      <c r="A21" t="s">
        <v>40</v>
      </c>
      <c r="B21">
        <f>453.92-454.91</f>
        <v>-0.99000000000000909</v>
      </c>
    </row>
    <row r="22" spans="1:6" x14ac:dyDescent="0.25">
      <c r="A22" t="s">
        <v>85</v>
      </c>
      <c r="B22" s="3">
        <f>B21/453.92</f>
        <v>-2.1810010574550781E-3</v>
      </c>
    </row>
    <row r="25" spans="1:6" x14ac:dyDescent="0.25">
      <c r="A25" t="s">
        <v>68</v>
      </c>
    </row>
    <row r="26" spans="1:6" x14ac:dyDescent="0.25">
      <c r="B26" t="s">
        <v>37</v>
      </c>
    </row>
    <row r="27" spans="1:6" x14ac:dyDescent="0.25">
      <c r="A27" t="s">
        <v>41</v>
      </c>
      <c r="B27">
        <v>0</v>
      </c>
      <c r="C27">
        <v>453.93</v>
      </c>
      <c r="D27" s="26" t="s">
        <v>76</v>
      </c>
      <c r="E27" t="s">
        <v>74</v>
      </c>
      <c r="F27" t="s">
        <v>75</v>
      </c>
    </row>
    <row r="28" spans="1:6" x14ac:dyDescent="0.25">
      <c r="A28" t="s">
        <v>42</v>
      </c>
      <c r="B28">
        <v>3</v>
      </c>
      <c r="C28" s="11">
        <v>460.93459999999999</v>
      </c>
      <c r="D28">
        <f>((C28-C$27) / (B28))</f>
        <v>2.3348666666666609</v>
      </c>
      <c r="E28">
        <f>ABS(C28-C$27)-ABS(B28)</f>
        <v>4.0045999999999822</v>
      </c>
      <c r="F28" s="1">
        <f>E28/$C$27</f>
        <v>8.8220650761130174E-3</v>
      </c>
    </row>
    <row r="29" spans="1:6" x14ac:dyDescent="0.25">
      <c r="A29" t="s">
        <v>43</v>
      </c>
      <c r="B29">
        <v>-3</v>
      </c>
      <c r="C29">
        <v>446.92</v>
      </c>
      <c r="D29">
        <f>((C29-C$27) / (B29))</f>
        <v>2.3366666666666638</v>
      </c>
      <c r="E29">
        <f>ABS(C29-C$27)-ABS(B29)</f>
        <v>4.0099999999999909</v>
      </c>
      <c r="F29" s="1">
        <f t="shared" ref="F29:F31" si="4">E29/$C$27</f>
        <v>8.8339611834423615E-3</v>
      </c>
    </row>
    <row r="30" spans="1:6" x14ac:dyDescent="0.25">
      <c r="A30" t="s">
        <v>44</v>
      </c>
      <c r="B30">
        <v>6</v>
      </c>
      <c r="C30">
        <v>467.93</v>
      </c>
      <c r="D30">
        <f>((C30-C$27) / (B30))</f>
        <v>2.3333333333333335</v>
      </c>
      <c r="E30">
        <f>ABS(C30-C$27)-ABS(B30)</f>
        <v>8</v>
      </c>
      <c r="F30" s="1">
        <f t="shared" si="4"/>
        <v>1.7623862710109489E-2</v>
      </c>
    </row>
    <row r="31" spans="1:6" x14ac:dyDescent="0.25">
      <c r="A31" t="s">
        <v>45</v>
      </c>
      <c r="B31">
        <v>-6</v>
      </c>
      <c r="C31">
        <v>439.9</v>
      </c>
      <c r="D31">
        <f>((C31-C$27) / (B31))</f>
        <v>2.3383333333333383</v>
      </c>
      <c r="E31">
        <f>ABS(C31-C$27)-ABS(B31)</f>
        <v>8.0300000000000296</v>
      </c>
      <c r="F31" s="1">
        <f t="shared" si="4"/>
        <v>1.7689952195272463E-2</v>
      </c>
    </row>
    <row r="32" spans="1:6" x14ac:dyDescent="0.25">
      <c r="B32" t="s">
        <v>67</v>
      </c>
    </row>
  </sheetData>
  <mergeCells count="4">
    <mergeCell ref="A5:B5"/>
    <mergeCell ref="A13:B13"/>
    <mergeCell ref="E5:F5"/>
    <mergeCell ref="E13:G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H42"/>
  <sheetViews>
    <sheetView workbookViewId="0">
      <pane ySplit="5" topLeftCell="A8" activePane="bottomLeft" state="frozen"/>
      <selection pane="bottomLeft" activeCell="F18" sqref="F18"/>
    </sheetView>
  </sheetViews>
  <sheetFormatPr defaultRowHeight="15" x14ac:dyDescent="0.25"/>
  <cols>
    <col min="3" max="3" width="23.7109375" bestFit="1" customWidth="1"/>
    <col min="4" max="4" width="12.28515625" bestFit="1" customWidth="1"/>
    <col min="5" max="5" width="15.42578125" bestFit="1" customWidth="1"/>
  </cols>
  <sheetData>
    <row r="1" spans="1:8" x14ac:dyDescent="0.25">
      <c r="A1" s="28" t="s">
        <v>140</v>
      </c>
      <c r="B1" s="29"/>
      <c r="C1" s="29"/>
      <c r="D1" s="29"/>
      <c r="E1" s="29"/>
      <c r="F1" s="29"/>
      <c r="G1" s="29"/>
      <c r="H1" s="30"/>
    </row>
    <row r="2" spans="1:8" x14ac:dyDescent="0.25">
      <c r="A2" s="31" t="s">
        <v>83</v>
      </c>
      <c r="B2" s="27"/>
      <c r="C2" s="27"/>
      <c r="D2" s="27"/>
      <c r="E2" s="27"/>
      <c r="F2" s="27"/>
      <c r="G2" s="27"/>
      <c r="H2" s="32"/>
    </row>
    <row r="3" spans="1:8" x14ac:dyDescent="0.25">
      <c r="A3" s="35" t="s">
        <v>84</v>
      </c>
      <c r="B3" s="33"/>
      <c r="C3" s="33"/>
      <c r="D3" s="33"/>
      <c r="E3" s="33"/>
      <c r="F3" s="33"/>
      <c r="G3" s="33"/>
      <c r="H3" s="34"/>
    </row>
    <row r="4" spans="1:8" x14ac:dyDescent="0.25">
      <c r="A4" t="s">
        <v>0</v>
      </c>
      <c r="B4" t="s">
        <v>1</v>
      </c>
    </row>
    <row r="5" spans="1:8" x14ac:dyDescent="0.25">
      <c r="B5" t="s">
        <v>2</v>
      </c>
      <c r="C5" t="s">
        <v>3</v>
      </c>
      <c r="D5" t="s">
        <v>4</v>
      </c>
      <c r="E5" t="s">
        <v>9</v>
      </c>
      <c r="F5" t="s">
        <v>10</v>
      </c>
    </row>
    <row r="6" spans="1:8" x14ac:dyDescent="0.25">
      <c r="A6" s="43" t="s">
        <v>11</v>
      </c>
      <c r="B6" s="43"/>
      <c r="C6" s="43"/>
      <c r="D6" s="43"/>
      <c r="E6" s="43"/>
      <c r="F6" s="43"/>
    </row>
    <row r="7" spans="1:8" x14ac:dyDescent="0.25">
      <c r="A7" t="s">
        <v>70</v>
      </c>
    </row>
    <row r="8" spans="1:8" x14ac:dyDescent="0.25">
      <c r="A8" t="s">
        <v>5</v>
      </c>
      <c r="B8">
        <v>900</v>
      </c>
      <c r="C8">
        <v>900</v>
      </c>
      <c r="D8">
        <v>1800</v>
      </c>
      <c r="E8">
        <v>1800</v>
      </c>
      <c r="F8" s="2">
        <v>0</v>
      </c>
    </row>
    <row r="9" spans="1:8" x14ac:dyDescent="0.25">
      <c r="A9" s="24" t="s">
        <v>6</v>
      </c>
      <c r="B9" s="24">
        <v>420</v>
      </c>
      <c r="C9" s="24">
        <v>-25</v>
      </c>
      <c r="D9" s="24">
        <v>198.04945325111584</v>
      </c>
      <c r="E9" s="24">
        <f t="shared" ref="E9" si="0">(C9+B9)/2</f>
        <v>197.5</v>
      </c>
      <c r="F9" s="25">
        <f t="shared" ref="F9" si="1">(E9-D9)/D9</f>
        <v>-2.7743234939364304E-3</v>
      </c>
    </row>
    <row r="10" spans="1:8" x14ac:dyDescent="0.25">
      <c r="A10" t="s">
        <v>7</v>
      </c>
      <c r="B10">
        <v>210.00000000000003</v>
      </c>
      <c r="C10">
        <v>210.00000000000003</v>
      </c>
      <c r="D10">
        <v>210.00000000000003</v>
      </c>
      <c r="E10">
        <v>210.00000000000003</v>
      </c>
      <c r="F10" s="2">
        <v>0</v>
      </c>
    </row>
    <row r="11" spans="1:8" x14ac:dyDescent="0.25">
      <c r="A11" t="s">
        <v>8</v>
      </c>
      <c r="B11">
        <v>0.74</v>
      </c>
      <c r="C11">
        <v>0.66</v>
      </c>
      <c r="D11">
        <v>0.7</v>
      </c>
      <c r="E11">
        <v>0.7</v>
      </c>
      <c r="F11" s="2">
        <v>0</v>
      </c>
    </row>
    <row r="12" spans="1:8" x14ac:dyDescent="0.25">
      <c r="A12" t="s">
        <v>8</v>
      </c>
      <c r="B12">
        <v>0.24</v>
      </c>
      <c r="C12">
        <v>0.22</v>
      </c>
      <c r="D12">
        <v>0.23</v>
      </c>
      <c r="E12">
        <v>0.22999999999999998</v>
      </c>
      <c r="F12" s="2">
        <v>-1.206764157201257E-16</v>
      </c>
    </row>
    <row r="13" spans="1:8" x14ac:dyDescent="0.25">
      <c r="A13" t="s">
        <v>8</v>
      </c>
      <c r="B13">
        <v>0.01</v>
      </c>
      <c r="C13">
        <v>3.7999999999999999E-2</v>
      </c>
      <c r="D13">
        <v>2.4E-2</v>
      </c>
      <c r="E13">
        <v>2.4E-2</v>
      </c>
      <c r="F13" s="2">
        <v>0</v>
      </c>
    </row>
    <row r="14" spans="1:8" x14ac:dyDescent="0.25">
      <c r="A14" t="s">
        <v>8</v>
      </c>
      <c r="B14">
        <v>0.01</v>
      </c>
      <c r="C14">
        <v>1.7000000000000001E-2</v>
      </c>
      <c r="D14">
        <v>1.3500000000000002E-2</v>
      </c>
      <c r="E14">
        <v>1.3500000000000002E-2</v>
      </c>
      <c r="F14" s="2">
        <v>0</v>
      </c>
    </row>
    <row r="15" spans="1:8" x14ac:dyDescent="0.25">
      <c r="A15" t="s">
        <v>8</v>
      </c>
      <c r="B15">
        <v>0</v>
      </c>
      <c r="C15">
        <v>6.5000000000000002E-2</v>
      </c>
      <c r="D15">
        <v>3.2500000000000001E-2</v>
      </c>
      <c r="E15">
        <v>3.2500000000000001E-2</v>
      </c>
      <c r="F15" s="2">
        <v>0</v>
      </c>
    </row>
    <row r="16" spans="1:8" x14ac:dyDescent="0.25">
      <c r="A16" t="s">
        <v>71</v>
      </c>
      <c r="F16" s="2"/>
    </row>
    <row r="17" spans="1:6" x14ac:dyDescent="0.25">
      <c r="A17" t="s">
        <v>5</v>
      </c>
      <c r="B17">
        <v>900</v>
      </c>
      <c r="C17">
        <v>900</v>
      </c>
      <c r="D17">
        <v>1800</v>
      </c>
      <c r="E17">
        <v>1800</v>
      </c>
      <c r="F17" s="2">
        <v>0</v>
      </c>
    </row>
    <row r="18" spans="1:6" x14ac:dyDescent="0.25">
      <c r="A18" s="24" t="s">
        <v>6</v>
      </c>
      <c r="B18" s="24">
        <v>420</v>
      </c>
      <c r="C18" s="24">
        <v>-20</v>
      </c>
      <c r="D18" s="24">
        <v>199.96061164727871</v>
      </c>
      <c r="E18" s="24">
        <f t="shared" ref="E18" si="2">(C18+B18)/2</f>
        <v>200</v>
      </c>
      <c r="F18" s="25">
        <f t="shared" ref="F18" si="3">(E18-D18)/D18</f>
        <v>1.9698055730479812E-4</v>
      </c>
    </row>
    <row r="19" spans="1:6" x14ac:dyDescent="0.25">
      <c r="A19" t="s">
        <v>7</v>
      </c>
      <c r="B19">
        <v>210.00000000000003</v>
      </c>
      <c r="C19">
        <v>210.00000000000003</v>
      </c>
      <c r="D19">
        <v>210.00000000000003</v>
      </c>
      <c r="E19">
        <v>210.00000000000003</v>
      </c>
      <c r="F19" s="2">
        <v>0</v>
      </c>
    </row>
    <row r="20" spans="1:6" x14ac:dyDescent="0.25">
      <c r="A20" t="s">
        <v>8</v>
      </c>
      <c r="B20">
        <v>0.74</v>
      </c>
      <c r="C20">
        <v>0.70378151260504196</v>
      </c>
      <c r="D20">
        <v>0.72189075630252086</v>
      </c>
      <c r="E20">
        <v>0.72189075630252098</v>
      </c>
      <c r="F20" s="2">
        <v>1.5379377210918299E-16</v>
      </c>
    </row>
    <row r="21" spans="1:6" x14ac:dyDescent="0.25">
      <c r="A21" t="s">
        <v>8</v>
      </c>
      <c r="B21">
        <v>0.24</v>
      </c>
      <c r="C21">
        <v>0.23119247699079631</v>
      </c>
      <c r="D21">
        <v>0.23559623849539815</v>
      </c>
      <c r="E21">
        <v>0.23559623849539815</v>
      </c>
      <c r="F21" s="2">
        <v>0</v>
      </c>
    </row>
    <row r="22" spans="1:6" x14ac:dyDescent="0.25">
      <c r="A22" t="s">
        <v>8</v>
      </c>
      <c r="B22">
        <v>0.01</v>
      </c>
      <c r="C22">
        <v>0</v>
      </c>
      <c r="D22">
        <v>5.0000000000000001E-3</v>
      </c>
      <c r="E22">
        <v>5.0000000000000001E-3</v>
      </c>
      <c r="F22" s="2">
        <v>0</v>
      </c>
    </row>
    <row r="23" spans="1:6" x14ac:dyDescent="0.25">
      <c r="A23" t="s">
        <v>8</v>
      </c>
      <c r="B23">
        <v>0.01</v>
      </c>
      <c r="C23">
        <v>0</v>
      </c>
      <c r="D23">
        <v>5.0000000000000001E-3</v>
      </c>
      <c r="E23">
        <v>5.0000000000000001E-3</v>
      </c>
      <c r="F23" s="2">
        <v>0</v>
      </c>
    </row>
    <row r="24" spans="1:6" x14ac:dyDescent="0.25">
      <c r="A24" t="s">
        <v>8</v>
      </c>
      <c r="B24">
        <v>0</v>
      </c>
      <c r="C24">
        <v>6.5026010404161658E-2</v>
      </c>
      <c r="D24">
        <v>3.2513005202080829E-2</v>
      </c>
      <c r="E24">
        <v>3.2513005202080829E-2</v>
      </c>
      <c r="F24" s="2">
        <v>0</v>
      </c>
    </row>
    <row r="25" spans="1:6" x14ac:dyDescent="0.25">
      <c r="A25" t="s">
        <v>72</v>
      </c>
      <c r="F25" s="2"/>
    </row>
    <row r="26" spans="1:6" x14ac:dyDescent="0.25">
      <c r="A26" t="s">
        <v>5</v>
      </c>
      <c r="B26">
        <v>900</v>
      </c>
      <c r="C26">
        <v>900</v>
      </c>
      <c r="D26">
        <v>1800</v>
      </c>
      <c r="E26">
        <v>1800</v>
      </c>
      <c r="F26" s="2">
        <v>0</v>
      </c>
    </row>
    <row r="27" spans="1:6" x14ac:dyDescent="0.25">
      <c r="A27" s="24" t="s">
        <v>6</v>
      </c>
      <c r="B27" s="24">
        <v>420</v>
      </c>
      <c r="C27" s="24">
        <v>-30</v>
      </c>
      <c r="D27" s="24">
        <v>195.03318878932322</v>
      </c>
      <c r="E27" s="24">
        <f t="shared" ref="E27" si="4">(C27+B27)/2</f>
        <v>195</v>
      </c>
      <c r="F27" s="25">
        <f t="shared" ref="F27" si="5">(E27-D27)/D27</f>
        <v>-1.7016995686344483E-4</v>
      </c>
    </row>
    <row r="28" spans="1:6" x14ac:dyDescent="0.25">
      <c r="A28" t="s">
        <v>7</v>
      </c>
      <c r="B28">
        <v>210.00000000000003</v>
      </c>
      <c r="C28">
        <v>210.00000000000003</v>
      </c>
      <c r="D28">
        <v>210.00000000000003</v>
      </c>
      <c r="E28">
        <v>210.00000000000003</v>
      </c>
      <c r="F28" s="2">
        <v>0</v>
      </c>
    </row>
    <row r="29" spans="1:6" x14ac:dyDescent="0.25">
      <c r="A29" t="s">
        <v>8</v>
      </c>
      <c r="B29">
        <v>0.74</v>
      </c>
      <c r="C29">
        <v>0.70351758793969854</v>
      </c>
      <c r="D29">
        <v>0.72175879396984921</v>
      </c>
      <c r="E29">
        <v>0.72175879396984932</v>
      </c>
      <c r="F29" s="2">
        <v>1.5382189090051254E-16</v>
      </c>
    </row>
    <row r="30" spans="1:6" x14ac:dyDescent="0.25">
      <c r="A30" t="s">
        <v>8</v>
      </c>
      <c r="B30">
        <v>0.24</v>
      </c>
      <c r="C30">
        <v>0.23115577889447239</v>
      </c>
      <c r="D30">
        <v>0.23557788944723621</v>
      </c>
      <c r="E30">
        <v>0.23557788944723618</v>
      </c>
      <c r="F30" s="2">
        <v>-1.1781910297589917E-16</v>
      </c>
    </row>
    <row r="31" spans="1:6" x14ac:dyDescent="0.25">
      <c r="A31" t="s">
        <v>8</v>
      </c>
      <c r="B31">
        <v>0.01</v>
      </c>
      <c r="C31">
        <v>0</v>
      </c>
      <c r="D31">
        <v>5.0000000000000001E-3</v>
      </c>
      <c r="E31">
        <v>5.0000000000000001E-3</v>
      </c>
      <c r="F31" s="2">
        <v>0</v>
      </c>
    </row>
    <row r="32" spans="1:6" x14ac:dyDescent="0.25">
      <c r="A32" t="s">
        <v>8</v>
      </c>
      <c r="B32">
        <v>0.01</v>
      </c>
      <c r="C32">
        <v>0</v>
      </c>
      <c r="D32">
        <v>5.0000000000000001E-3</v>
      </c>
      <c r="E32">
        <v>5.0000000000000001E-3</v>
      </c>
      <c r="F32" s="2">
        <v>0</v>
      </c>
    </row>
    <row r="33" spans="1:6" x14ac:dyDescent="0.25">
      <c r="A33" t="s">
        <v>8</v>
      </c>
      <c r="B33">
        <v>0</v>
      </c>
      <c r="C33">
        <v>6.5326633165829151E-2</v>
      </c>
      <c r="D33">
        <v>3.2663316582914576E-2</v>
      </c>
      <c r="E33">
        <v>3.2663316582914576E-2</v>
      </c>
      <c r="F33" s="2">
        <v>0</v>
      </c>
    </row>
    <row r="34" spans="1:6" x14ac:dyDescent="0.25">
      <c r="A34" t="s">
        <v>73</v>
      </c>
    </row>
    <row r="35" spans="1:6" x14ac:dyDescent="0.25">
      <c r="A35" t="s">
        <v>5</v>
      </c>
      <c r="B35">
        <v>900</v>
      </c>
      <c r="C35">
        <v>900</v>
      </c>
      <c r="D35">
        <v>1800</v>
      </c>
      <c r="E35">
        <v>1800</v>
      </c>
      <c r="F35" s="4">
        <v>0</v>
      </c>
    </row>
    <row r="36" spans="1:6" x14ac:dyDescent="0.25">
      <c r="A36" s="24" t="s">
        <v>6</v>
      </c>
      <c r="B36" s="24">
        <v>420</v>
      </c>
      <c r="C36" s="24">
        <v>-30</v>
      </c>
      <c r="D36" s="24">
        <v>196.83404951733996</v>
      </c>
      <c r="E36" s="24">
        <f t="shared" ref="E36" si="6">(C36+B36)/2</f>
        <v>195</v>
      </c>
      <c r="F36" s="25">
        <f t="shared" ref="F36" si="7">(E36-D36)/D36</f>
        <v>-9.3177451860451295E-3</v>
      </c>
    </row>
    <row r="37" spans="1:6" x14ac:dyDescent="0.25">
      <c r="A37" t="s">
        <v>7</v>
      </c>
      <c r="B37">
        <v>210.00000000000003</v>
      </c>
      <c r="C37">
        <v>210.00000000000003</v>
      </c>
      <c r="D37">
        <v>210.00000000000003</v>
      </c>
      <c r="E37">
        <v>210.00000000000003</v>
      </c>
      <c r="F37" s="4">
        <v>0</v>
      </c>
    </row>
    <row r="38" spans="1:6" x14ac:dyDescent="0.25">
      <c r="A38" t="s">
        <v>8</v>
      </c>
      <c r="B38">
        <v>0.74</v>
      </c>
      <c r="C38">
        <v>0.8</v>
      </c>
      <c r="D38">
        <v>0.77</v>
      </c>
      <c r="E38">
        <v>0.77</v>
      </c>
      <c r="F38" s="4">
        <v>0</v>
      </c>
    </row>
    <row r="39" spans="1:6" x14ac:dyDescent="0.25">
      <c r="A39" t="s">
        <v>8</v>
      </c>
      <c r="B39">
        <v>0.24</v>
      </c>
      <c r="C39">
        <v>0.19</v>
      </c>
      <c r="D39">
        <v>0.215</v>
      </c>
      <c r="E39">
        <v>0.215</v>
      </c>
      <c r="F39" s="4">
        <v>0</v>
      </c>
    </row>
    <row r="40" spans="1:6" x14ac:dyDescent="0.25">
      <c r="A40" t="s">
        <v>8</v>
      </c>
      <c r="B40">
        <v>0.01</v>
      </c>
      <c r="C40">
        <v>0</v>
      </c>
      <c r="D40">
        <v>5.0000000000000001E-3</v>
      </c>
      <c r="E40">
        <v>5.0000000000000001E-3</v>
      </c>
      <c r="F40" s="4">
        <v>0</v>
      </c>
    </row>
    <row r="41" spans="1:6" x14ac:dyDescent="0.25">
      <c r="A41" t="s">
        <v>8</v>
      </c>
      <c r="B41">
        <v>0.01</v>
      </c>
      <c r="C41">
        <v>0</v>
      </c>
      <c r="D41">
        <v>5.0000000000000001E-3</v>
      </c>
      <c r="E41">
        <v>5.0000000000000001E-3</v>
      </c>
      <c r="F41" s="4">
        <v>0</v>
      </c>
    </row>
    <row r="42" spans="1:6" x14ac:dyDescent="0.25">
      <c r="A42" t="s">
        <v>8</v>
      </c>
      <c r="B42">
        <v>0</v>
      </c>
      <c r="C42">
        <v>0.01</v>
      </c>
      <c r="D42">
        <v>5.0000000000000001E-3</v>
      </c>
      <c r="E42">
        <v>5.0000000000000001E-3</v>
      </c>
      <c r="F42" s="4">
        <v>0</v>
      </c>
    </row>
  </sheetData>
  <mergeCells count="1">
    <mergeCell ref="A6:F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K22"/>
  <sheetViews>
    <sheetView workbookViewId="0">
      <selection activeCell="B12" sqref="B12"/>
    </sheetView>
  </sheetViews>
  <sheetFormatPr defaultRowHeight="15" x14ac:dyDescent="0.25"/>
  <cols>
    <col min="1" max="1" width="20.140625" customWidth="1"/>
    <col min="3" max="3" width="12.7109375" bestFit="1" customWidth="1"/>
    <col min="4" max="4" width="10.7109375" bestFit="1" customWidth="1"/>
    <col min="5" max="5" width="11.140625" customWidth="1"/>
  </cols>
  <sheetData>
    <row r="1" spans="1:11" x14ac:dyDescent="0.25">
      <c r="A1" s="36" t="s">
        <v>79</v>
      </c>
      <c r="B1" s="36"/>
      <c r="C1" s="36"/>
      <c r="D1" s="36"/>
      <c r="E1" s="36"/>
      <c r="F1" s="36"/>
      <c r="G1" s="36"/>
      <c r="H1" s="36"/>
      <c r="I1" s="36"/>
      <c r="J1" t="s">
        <v>0</v>
      </c>
      <c r="K1" t="s">
        <v>12</v>
      </c>
    </row>
    <row r="2" spans="1:11" x14ac:dyDescent="0.25">
      <c r="A2" t="s">
        <v>77</v>
      </c>
      <c r="B2" s="23"/>
      <c r="C2" s="23"/>
      <c r="D2" s="23"/>
      <c r="E2" s="23"/>
      <c r="F2" s="23"/>
      <c r="G2" s="23"/>
    </row>
    <row r="3" spans="1:11" x14ac:dyDescent="0.25">
      <c r="B3" t="s">
        <v>14</v>
      </c>
      <c r="C3" t="s">
        <v>15</v>
      </c>
      <c r="D3" t="s">
        <v>16</v>
      </c>
      <c r="E3" t="s">
        <v>17</v>
      </c>
      <c r="F3" t="s">
        <v>25</v>
      </c>
      <c r="G3" t="s">
        <v>24</v>
      </c>
    </row>
    <row r="4" spans="1:11" x14ac:dyDescent="0.25">
      <c r="A4" t="s">
        <v>18</v>
      </c>
      <c r="B4">
        <v>3.2490000000000001</v>
      </c>
      <c r="C4">
        <v>4.2200000000000001E-4</v>
      </c>
      <c r="D4">
        <v>0</v>
      </c>
      <c r="E4">
        <v>8300</v>
      </c>
      <c r="F4">
        <f>(B$16+C$16)/2</f>
        <v>315.65999999999997</v>
      </c>
      <c r="G4">
        <f>8.314*(B4+C4*F4+D4*F4^2+E4/(F4^2))</f>
        <v>28.812228245972573</v>
      </c>
    </row>
    <row r="5" spans="1:11" x14ac:dyDescent="0.25">
      <c r="A5" t="s">
        <v>19</v>
      </c>
      <c r="B5">
        <v>3.28</v>
      </c>
      <c r="C5">
        <v>5.9299999999999999E-4</v>
      </c>
      <c r="D5">
        <v>0</v>
      </c>
      <c r="E5">
        <v>4000</v>
      </c>
      <c r="F5">
        <f>(B$16+C$16)/2</f>
        <v>315.65999999999997</v>
      </c>
      <c r="G5">
        <f>8.314*(B5+C5*F5+D5*F5^2+E5/(F5^2))</f>
        <v>29.159944966063406</v>
      </c>
    </row>
    <row r="6" spans="1:11" x14ac:dyDescent="0.25">
      <c r="A6" t="s">
        <v>20</v>
      </c>
      <c r="B6">
        <v>2.5099999999999998</v>
      </c>
      <c r="C6">
        <v>0</v>
      </c>
      <c r="D6">
        <v>0</v>
      </c>
      <c r="E6">
        <v>0</v>
      </c>
      <c r="F6">
        <f>(B$16+C$16)/2</f>
        <v>315.65999999999997</v>
      </c>
      <c r="G6">
        <f>8.314*(B6+C6*F6+D6*F6^2+E6/(F6^2))</f>
        <v>20.868139999999997</v>
      </c>
    </row>
    <row r="7" spans="1:11" x14ac:dyDescent="0.25">
      <c r="A7" t="s">
        <v>21</v>
      </c>
      <c r="B7">
        <v>1.702</v>
      </c>
      <c r="C7">
        <v>9.0810000000000005E-3</v>
      </c>
      <c r="D7">
        <v>-2.2000000000000001E-6</v>
      </c>
      <c r="E7">
        <v>0</v>
      </c>
      <c r="F7">
        <f>(B$16+C$16)/2</f>
        <v>315.65999999999997</v>
      </c>
      <c r="G7">
        <f>8.314*(B7+C7*F7+D7*F7^2+E7/(F7^2))</f>
        <v>36.160061424327523</v>
      </c>
    </row>
    <row r="8" spans="1:11" x14ac:dyDescent="0.25">
      <c r="A8" t="s">
        <v>22</v>
      </c>
      <c r="B8">
        <v>3.5779999999999998</v>
      </c>
      <c r="C8">
        <v>3.0200000000000001E-3</v>
      </c>
      <c r="D8">
        <v>0</v>
      </c>
      <c r="E8">
        <v>-18600</v>
      </c>
      <c r="F8">
        <f>(B$16+C$16)/2</f>
        <v>315.65999999999997</v>
      </c>
      <c r="G8">
        <f>8.314*(B8+C8*F8+D8*F8^2+E8/(F8^2))</f>
        <v>36.121199742043146</v>
      </c>
    </row>
    <row r="9" spans="1:11" x14ac:dyDescent="0.25">
      <c r="A9" t="s">
        <v>23</v>
      </c>
      <c r="B9">
        <f>B18*G4+B19*G5+B20*G6+B21*G7+B22*G8</f>
        <v>29.027040316889558</v>
      </c>
      <c r="C9">
        <f>0.277777*B9*C15*(C16-B16)/1000000</f>
        <v>2.1252656893638178</v>
      </c>
    </row>
    <row r="10" spans="1:11" x14ac:dyDescent="0.25">
      <c r="A10" t="s">
        <v>27</v>
      </c>
      <c r="B10">
        <f>B15*B9*(C16-B16)*0.27777/1000000</f>
        <v>2.1252121325184867</v>
      </c>
    </row>
    <row r="11" spans="1:11" x14ac:dyDescent="0.25">
      <c r="A11" t="s">
        <v>78</v>
      </c>
      <c r="B11">
        <v>2.2016690800516492</v>
      </c>
    </row>
    <row r="12" spans="1:11" x14ac:dyDescent="0.25">
      <c r="A12" t="s">
        <v>10</v>
      </c>
      <c r="B12" s="3">
        <v>-3.4726811683874328E-2</v>
      </c>
    </row>
    <row r="13" spans="1:11" x14ac:dyDescent="0.25">
      <c r="B13" s="43" t="s">
        <v>13</v>
      </c>
      <c r="C13" s="43"/>
      <c r="J13" s="43"/>
      <c r="K13" s="43"/>
    </row>
    <row r="14" spans="1:11" ht="16.5" customHeight="1" x14ac:dyDescent="0.25">
      <c r="B14" t="s">
        <v>2</v>
      </c>
      <c r="C14" t="s">
        <v>26</v>
      </c>
    </row>
    <row r="15" spans="1:11" x14ac:dyDescent="0.25">
      <c r="A15" t="s">
        <v>5</v>
      </c>
      <c r="B15" s="5">
        <v>1562.61</v>
      </c>
      <c r="C15" s="5">
        <v>1562.61</v>
      </c>
      <c r="F15" s="2"/>
      <c r="J15" s="5"/>
      <c r="K15" s="5"/>
    </row>
    <row r="16" spans="1:11" x14ac:dyDescent="0.25">
      <c r="A16" t="s">
        <v>6</v>
      </c>
      <c r="B16" s="5">
        <v>231.32</v>
      </c>
      <c r="C16" s="5">
        <v>400</v>
      </c>
      <c r="F16" s="2"/>
      <c r="J16" s="5"/>
      <c r="K16" s="5"/>
    </row>
    <row r="17" spans="1:11" x14ac:dyDescent="0.25">
      <c r="A17" t="s">
        <v>7</v>
      </c>
      <c r="B17" s="5">
        <v>210.00000000000003</v>
      </c>
      <c r="C17" s="5">
        <v>200.00000000000003</v>
      </c>
      <c r="F17" s="2"/>
      <c r="J17" s="5"/>
      <c r="K17" s="5"/>
    </row>
    <row r="18" spans="1:11" x14ac:dyDescent="0.25">
      <c r="A18" t="s">
        <v>8</v>
      </c>
      <c r="B18" s="5">
        <v>0.7</v>
      </c>
      <c r="C18" s="5">
        <v>0.7</v>
      </c>
      <c r="F18" s="2"/>
      <c r="J18" s="5"/>
      <c r="K18" s="5"/>
    </row>
    <row r="19" spans="1:11" x14ac:dyDescent="0.25">
      <c r="A19" t="s">
        <v>8</v>
      </c>
      <c r="B19" s="5">
        <v>0.23599999999999999</v>
      </c>
      <c r="C19" s="5">
        <v>0.23599999999999999</v>
      </c>
      <c r="F19" s="2"/>
      <c r="J19" s="5"/>
      <c r="K19" s="5"/>
    </row>
    <row r="20" spans="1:11" x14ac:dyDescent="0.25">
      <c r="A20" t="s">
        <v>8</v>
      </c>
      <c r="B20" s="5">
        <v>2.1999999999999999E-2</v>
      </c>
      <c r="C20" s="5">
        <v>2.1999999999999999E-2</v>
      </c>
      <c r="F20" s="2"/>
      <c r="J20" s="5"/>
      <c r="K20" s="5"/>
    </row>
    <row r="21" spans="1:11" x14ac:dyDescent="0.25">
      <c r="A21" t="s">
        <v>8</v>
      </c>
      <c r="B21" s="5">
        <v>1.4E-2</v>
      </c>
      <c r="C21" s="5">
        <v>1.3999999999999999E-2</v>
      </c>
      <c r="F21" s="2"/>
      <c r="J21" s="5"/>
      <c r="K21" s="5"/>
    </row>
    <row r="22" spans="1:11" x14ac:dyDescent="0.25">
      <c r="A22" t="s">
        <v>8</v>
      </c>
      <c r="B22" s="5">
        <v>2.8000000000000001E-2</v>
      </c>
      <c r="C22" s="5">
        <v>2.8000000000000001E-2</v>
      </c>
      <c r="F22" s="2"/>
      <c r="J22" s="5"/>
      <c r="K22" s="5"/>
    </row>
  </sheetData>
  <mergeCells count="2">
    <mergeCell ref="B13:C13"/>
    <mergeCell ref="J13:K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M13"/>
  <sheetViews>
    <sheetView workbookViewId="0">
      <selection activeCell="J12" sqref="J12"/>
    </sheetView>
  </sheetViews>
  <sheetFormatPr defaultRowHeight="15" x14ac:dyDescent="0.25"/>
  <cols>
    <col min="2" max="2" width="14.85546875" customWidth="1"/>
    <col min="4" max="4" width="14" customWidth="1"/>
    <col min="5" max="5" width="16" customWidth="1"/>
    <col min="6" max="6" width="14.85546875" customWidth="1"/>
    <col min="10" max="10" width="13.85546875" customWidth="1"/>
    <col min="11" max="11" width="12.7109375" bestFit="1" customWidth="1"/>
    <col min="12" max="12" width="14" customWidth="1"/>
    <col min="15" max="15" width="10.85546875" customWidth="1"/>
  </cols>
  <sheetData>
    <row r="1" spans="1:13" x14ac:dyDescent="0.25">
      <c r="A1" s="28" t="s">
        <v>82</v>
      </c>
      <c r="B1" s="29"/>
      <c r="C1" s="29"/>
      <c r="D1" s="29"/>
      <c r="E1" s="29"/>
      <c r="F1" s="29"/>
      <c r="G1" s="29"/>
      <c r="H1" s="29"/>
      <c r="I1" s="27"/>
      <c r="J1" s="30"/>
    </row>
    <row r="2" spans="1:13" x14ac:dyDescent="0.25">
      <c r="A2" s="31" t="s">
        <v>80</v>
      </c>
      <c r="B2" s="27"/>
      <c r="C2" s="27"/>
      <c r="D2" s="27"/>
      <c r="E2" s="27"/>
      <c r="F2" s="27"/>
      <c r="G2" s="27"/>
      <c r="H2" s="27"/>
      <c r="I2" s="27"/>
      <c r="J2" s="32"/>
    </row>
    <row r="3" spans="1:13" x14ac:dyDescent="0.25">
      <c r="A3" s="31" t="s">
        <v>81</v>
      </c>
      <c r="B3" s="27"/>
      <c r="C3" s="27"/>
      <c r="D3" s="27"/>
      <c r="E3" s="27"/>
      <c r="F3" s="27"/>
      <c r="G3" s="27"/>
      <c r="H3" s="27"/>
      <c r="I3" s="27"/>
      <c r="J3" s="32"/>
    </row>
    <row r="4" spans="1:13" x14ac:dyDescent="0.25">
      <c r="A4" s="35" t="s">
        <v>0</v>
      </c>
      <c r="B4" s="33" t="s">
        <v>12</v>
      </c>
      <c r="C4" s="33"/>
      <c r="D4" s="33"/>
      <c r="E4" s="33"/>
      <c r="F4" s="33"/>
      <c r="G4" s="33"/>
      <c r="H4" s="33"/>
      <c r="I4" s="33"/>
      <c r="J4" s="34"/>
    </row>
    <row r="5" spans="1:13" x14ac:dyDescent="0.25">
      <c r="A5" t="s">
        <v>28</v>
      </c>
      <c r="B5" t="s">
        <v>29</v>
      </c>
      <c r="C5" t="s">
        <v>30</v>
      </c>
      <c r="D5" t="s">
        <v>36</v>
      </c>
      <c r="E5" t="s">
        <v>10</v>
      </c>
      <c r="G5" t="s">
        <v>31</v>
      </c>
      <c r="H5" t="s">
        <v>32</v>
      </c>
      <c r="I5" t="s">
        <v>36</v>
      </c>
      <c r="J5" t="s">
        <v>10</v>
      </c>
    </row>
    <row r="6" spans="1:13" x14ac:dyDescent="0.25">
      <c r="A6">
        <v>390</v>
      </c>
      <c r="B6">
        <v>1190.6053678759881</v>
      </c>
      <c r="C6">
        <v>12250.229980356955</v>
      </c>
      <c r="D6">
        <f>A6*B$10+B$11</f>
        <v>12251.376642998175</v>
      </c>
      <c r="E6" s="3">
        <f>(D6-C6)/C6</f>
        <v>9.3603356268323197E-5</v>
      </c>
      <c r="F6" s="3"/>
      <c r="G6">
        <v>-24</v>
      </c>
      <c r="H6">
        <v>-8815.8088967033636</v>
      </c>
      <c r="I6">
        <f>G6*J$10+J$11</f>
        <v>-8818.6360217831152</v>
      </c>
      <c r="J6" s="3">
        <f>(I6-H6)/H6</f>
        <v>3.2068810847394387E-4</v>
      </c>
    </row>
    <row r="7" spans="1:13" x14ac:dyDescent="0.25">
      <c r="A7">
        <v>400</v>
      </c>
      <c r="B7">
        <v>1210.5203742064491</v>
      </c>
      <c r="C7">
        <v>12509.982995113745</v>
      </c>
      <c r="D7">
        <f>A7*B$10+B$11</f>
        <v>12508.783409098709</v>
      </c>
      <c r="E7" s="3">
        <f>(D7-C7)/C7</f>
        <v>-9.5890299411673601E-5</v>
      </c>
      <c r="F7" s="3"/>
      <c r="G7">
        <v>-29</v>
      </c>
      <c r="H7">
        <v>-9068.9566805736722</v>
      </c>
      <c r="I7">
        <f>G7*J$10+J$11</f>
        <v>-9066.0675842419332</v>
      </c>
      <c r="J7" s="3">
        <f>(I7-H7)/H7</f>
        <v>-3.185698679019634E-4</v>
      </c>
      <c r="M7" s="2"/>
    </row>
    <row r="8" spans="1:13" x14ac:dyDescent="0.25">
      <c r="A8">
        <v>410</v>
      </c>
      <c r="B8" s="8">
        <v>1230.2753415482687</v>
      </c>
      <c r="C8">
        <v>12767.230991092832</v>
      </c>
      <c r="D8">
        <f>A8*B$10+B$11</f>
        <v>12766.190175199241</v>
      </c>
      <c r="E8" s="3">
        <f>(D8-C8)/C8</f>
        <v>-8.1522445573179085E-5</v>
      </c>
      <c r="F8" s="3"/>
      <c r="G8">
        <v>-34</v>
      </c>
      <c r="H8">
        <v>-9316.2023292765261</v>
      </c>
      <c r="I8">
        <f>G8*J$10+J$11</f>
        <v>-9313.4991467007494</v>
      </c>
      <c r="J8" s="3">
        <f>(I8-H8)/H8</f>
        <v>-2.9015928167230555E-4</v>
      </c>
    </row>
    <row r="9" spans="1:13" x14ac:dyDescent="0.25">
      <c r="A9">
        <v>420</v>
      </c>
      <c r="B9">
        <v>1249.774678439032</v>
      </c>
      <c r="C9">
        <v>13022.503202032367</v>
      </c>
      <c r="D9">
        <f>A9*B$10+B$11</f>
        <v>13023.596941299773</v>
      </c>
      <c r="E9" s="3">
        <f>(D9-C9)/C9</f>
        <v>8.3988404566889493E-5</v>
      </c>
      <c r="F9" s="3"/>
      <c r="G9">
        <v>-39</v>
      </c>
      <c r="H9">
        <v>-9558.1655553318033</v>
      </c>
      <c r="I9">
        <f>G9*J$10+J$11</f>
        <v>-9560.9307091595674</v>
      </c>
      <c r="J9" s="3">
        <f>(I9-H9)/H9</f>
        <v>2.8929754478061688E-4</v>
      </c>
    </row>
    <row r="10" spans="1:13" x14ac:dyDescent="0.25">
      <c r="A10" s="9" t="s">
        <v>33</v>
      </c>
      <c r="B10">
        <f>SLOPE(C6:C9,A6:A9)</f>
        <v>25.740676610053232</v>
      </c>
      <c r="I10" s="9" t="s">
        <v>33</v>
      </c>
      <c r="J10">
        <f>SLOPE(H6:H9,G6:G9)</f>
        <v>49.486312491763456</v>
      </c>
    </row>
    <row r="11" spans="1:13" x14ac:dyDescent="0.25">
      <c r="A11" s="9" t="s">
        <v>34</v>
      </c>
      <c r="B11" s="6">
        <f>INDEX(LINEST(C6:C9,A6:A9,TRUE),2)</f>
        <v>2212.5127650774157</v>
      </c>
      <c r="I11" s="9" t="s">
        <v>34</v>
      </c>
      <c r="J11" s="6">
        <f>INDEX(LINEST(H6:H9,G6:G9,TRUE),2)</f>
        <v>-7630.9645219807926</v>
      </c>
    </row>
    <row r="12" spans="1:13" x14ac:dyDescent="0.25">
      <c r="A12" s="10" t="s">
        <v>35</v>
      </c>
      <c r="B12" s="6">
        <f>INDEX(LINEST(B6:B9,A6:A9,TRUE,TRUE),3)</f>
        <v>0.99997756453168529</v>
      </c>
      <c r="I12" s="10" t="s">
        <v>35</v>
      </c>
      <c r="J12" s="6">
        <f>INDEX(LINEST(H6:H9,G6:G9,TRUE,TRUE),3)</f>
        <v>0.99989778382381889</v>
      </c>
    </row>
    <row r="13" spans="1:13" x14ac:dyDescent="0.25">
      <c r="K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Compare_DR</vt:lpstr>
      <vt:lpstr>base_case</vt:lpstr>
      <vt:lpstr>Errors</vt:lpstr>
      <vt:lpstr>flash</vt:lpstr>
      <vt:lpstr>compressors</vt:lpstr>
      <vt:lpstr>mixer</vt:lpstr>
      <vt:lpstr>heater1</vt:lpstr>
      <vt:lpstr>heater 2</vt:lpstr>
    </vt:vector>
  </TitlesOfParts>
  <Company>VRTech Tecnologias Industriais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edsoncv</dc:creator>
  <cp:lastModifiedBy>edsoncv</cp:lastModifiedBy>
  <dcterms:created xsi:type="dcterms:W3CDTF">2012-11-10T12:22:13Z</dcterms:created>
  <dcterms:modified xsi:type="dcterms:W3CDTF">2013-03-12T11:37:23Z</dcterms:modified>
</cp:coreProperties>
</file>