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180" windowHeight="8070" tabRatio="842"/>
  </bookViews>
  <sheets>
    <sheet name="flash" sheetId="8" r:id="rId1"/>
    <sheet name="compressors" sheetId="12" r:id="rId2"/>
    <sheet name="mixer" sheetId="11" r:id="rId3"/>
    <sheet name="heater1" sheetId="9" r:id="rId4"/>
    <sheet name="heater 2" sheetId="10" r:id="rId5"/>
  </sheets>
  <calcPr calcId="145621"/>
</workbook>
</file>

<file path=xl/calcChain.xml><?xml version="1.0" encoding="utf-8"?>
<calcChain xmlns="http://schemas.openxmlformats.org/spreadsheetml/2006/main">
  <c r="E31" i="12" l="1"/>
  <c r="F31" i="12" s="1"/>
  <c r="D31" i="12"/>
  <c r="E30" i="12"/>
  <c r="F30" i="12" s="1"/>
  <c r="D30" i="12"/>
  <c r="E29" i="12"/>
  <c r="F29" i="12" s="1"/>
  <c r="D29" i="12"/>
  <c r="E28" i="12"/>
  <c r="F28" i="12" s="1"/>
  <c r="D28" i="12"/>
  <c r="B21" i="12"/>
  <c r="B22" i="12" s="1"/>
  <c r="E12" i="12"/>
  <c r="B12" i="12"/>
  <c r="E11" i="12"/>
  <c r="B11" i="12"/>
  <c r="E10" i="12"/>
  <c r="B10" i="12"/>
  <c r="E9" i="12"/>
  <c r="B9" i="12"/>
  <c r="E8" i="12"/>
  <c r="E15" i="12" s="1"/>
  <c r="F15" i="12" s="1"/>
  <c r="B8" i="12"/>
  <c r="B16" i="12" s="1"/>
  <c r="E16" i="12" l="1"/>
  <c r="B14" i="12"/>
  <c r="B15" i="12"/>
  <c r="E14" i="12"/>
  <c r="E17" i="12" s="1"/>
  <c r="E36" i="11"/>
  <c r="F36" i="11" s="1"/>
  <c r="E27" i="11"/>
  <c r="F27" i="11" s="1"/>
  <c r="E18" i="11"/>
  <c r="F18" i="11" s="1"/>
  <c r="E9" i="11"/>
  <c r="F9" i="11" s="1"/>
  <c r="J12" i="10"/>
  <c r="B12" i="10"/>
  <c r="J11" i="10"/>
  <c r="B11" i="10"/>
  <c r="J10" i="10"/>
  <c r="I9" i="10" s="1"/>
  <c r="J9" i="10" s="1"/>
  <c r="B10" i="10"/>
  <c r="D9" i="10" s="1"/>
  <c r="E9" i="10" s="1"/>
  <c r="I8" i="10"/>
  <c r="J8" i="10" s="1"/>
  <c r="I6" i="10"/>
  <c r="J6" i="10" s="1"/>
  <c r="F8" i="9"/>
  <c r="G8" i="9" s="1"/>
  <c r="F7" i="9"/>
  <c r="G7" i="9" s="1"/>
  <c r="F6" i="9"/>
  <c r="G6" i="9" s="1"/>
  <c r="F5" i="9"/>
  <c r="G5" i="9" s="1"/>
  <c r="F4" i="9"/>
  <c r="G4" i="9" s="1"/>
  <c r="B9" i="9" s="1"/>
  <c r="I7" i="10" l="1"/>
  <c r="J7" i="10" s="1"/>
  <c r="D6" i="10"/>
  <c r="E6" i="10" s="1"/>
  <c r="D7" i="10"/>
  <c r="E7" i="10" s="1"/>
  <c r="D8" i="10"/>
  <c r="E8" i="10" s="1"/>
  <c r="B10" i="9"/>
  <c r="C9" i="9"/>
  <c r="K19" i="8" l="1"/>
  <c r="J19" i="8"/>
  <c r="I19" i="8"/>
  <c r="H19" i="8"/>
  <c r="G19" i="8"/>
  <c r="F19" i="8"/>
  <c r="E19" i="8"/>
  <c r="D19" i="8"/>
  <c r="C19" i="8"/>
  <c r="B19" i="8"/>
  <c r="K18" i="8"/>
  <c r="J18" i="8"/>
  <c r="I18" i="8"/>
  <c r="H18" i="8"/>
  <c r="G18" i="8"/>
  <c r="F18" i="8"/>
  <c r="E18" i="8"/>
  <c r="D18" i="8"/>
  <c r="C18" i="8"/>
  <c r="B18" i="8"/>
  <c r="K17" i="8"/>
  <c r="J17" i="8"/>
  <c r="I17" i="8"/>
  <c r="H17" i="8"/>
  <c r="G17" i="8"/>
  <c r="F17" i="8"/>
  <c r="E17" i="8"/>
  <c r="D17" i="8"/>
  <c r="C17" i="8"/>
  <c r="B17" i="8"/>
  <c r="K16" i="8"/>
  <c r="J16" i="8"/>
  <c r="I16" i="8"/>
  <c r="H16" i="8"/>
  <c r="G16" i="8"/>
  <c r="F16" i="8"/>
  <c r="E16" i="8"/>
  <c r="D16" i="8"/>
  <c r="C16" i="8"/>
  <c r="B16" i="8"/>
  <c r="K15" i="8"/>
  <c r="J15" i="8"/>
  <c r="I15" i="8"/>
  <c r="H15" i="8"/>
  <c r="G15" i="8"/>
  <c r="F15" i="8"/>
  <c r="E15" i="8"/>
  <c r="D15" i="8"/>
  <c r="C15" i="8"/>
  <c r="B15" i="8"/>
  <c r="R18" i="8"/>
  <c r="Q18" i="8"/>
  <c r="P18" i="8"/>
  <c r="O18" i="8"/>
  <c r="N18" i="8"/>
  <c r="R17" i="8"/>
  <c r="Q17" i="8"/>
  <c r="P17" i="8"/>
  <c r="O17" i="8"/>
  <c r="N17" i="8"/>
  <c r="R16" i="8"/>
  <c r="Q16" i="8"/>
  <c r="P16" i="8"/>
  <c r="O16" i="8"/>
  <c r="N16" i="8"/>
</calcChain>
</file>

<file path=xl/sharedStrings.xml><?xml version="1.0" encoding="utf-8"?>
<sst xmlns="http://schemas.openxmlformats.org/spreadsheetml/2006/main" count="164" uniqueCount="106">
  <si>
    <t>File:</t>
  </si>
  <si>
    <t>Ammonia_test_mixer.ise</t>
  </si>
  <si>
    <t>Input 1</t>
  </si>
  <si>
    <t>Input 2</t>
  </si>
  <si>
    <t>Mixer Outlet</t>
  </si>
  <si>
    <t>F</t>
  </si>
  <si>
    <t>T</t>
  </si>
  <si>
    <t>P</t>
  </si>
  <si>
    <t>z</t>
  </si>
  <si>
    <t>Expected model</t>
  </si>
  <si>
    <t>Error</t>
  </si>
  <si>
    <t>Scenarios</t>
  </si>
  <si>
    <t>Ammonia_test_heater.ise</t>
  </si>
  <si>
    <t>Heater 1</t>
  </si>
  <si>
    <t>A</t>
  </si>
  <si>
    <t>B</t>
  </si>
  <si>
    <t>C</t>
  </si>
  <si>
    <t>D</t>
  </si>
  <si>
    <t>H2</t>
  </si>
  <si>
    <t>N2</t>
  </si>
  <si>
    <t>Ar</t>
  </si>
  <si>
    <t>CH4</t>
  </si>
  <si>
    <t>NH3</t>
  </si>
  <si>
    <t xml:space="preserve">Cp </t>
  </si>
  <si>
    <t>CP</t>
  </si>
  <si>
    <t>Tm</t>
  </si>
  <si>
    <t>Output 2</t>
  </si>
  <si>
    <t>Q</t>
  </si>
  <si>
    <t>T reactor</t>
  </si>
  <si>
    <t>Fout copy</t>
  </si>
  <si>
    <t>H out copy</t>
  </si>
  <si>
    <t>TH2 Outlet</t>
  </si>
  <si>
    <t>Hout copy</t>
  </si>
  <si>
    <t>m</t>
  </si>
  <si>
    <t>b</t>
  </si>
  <si>
    <t>r2</t>
  </si>
  <si>
    <t>Hout Model</t>
  </si>
  <si>
    <t>Compressor 1</t>
  </si>
  <si>
    <t>Compressor 2</t>
  </si>
  <si>
    <t>Pressure</t>
  </si>
  <si>
    <t>Delta T</t>
  </si>
  <si>
    <t>Delta Tin = 0</t>
  </si>
  <si>
    <t>Delta Tin = +3</t>
  </si>
  <si>
    <t>Delta Tin = -3</t>
  </si>
  <si>
    <t>Delta Tin = +6</t>
  </si>
  <si>
    <t>Delta Tin = -6</t>
  </si>
  <si>
    <t>ammonia_test_compressors.ise</t>
  </si>
  <si>
    <t>Tr= 410 P=199, T=-34</t>
  </si>
  <si>
    <t>Tr= 400 P=199, T=-34</t>
  </si>
  <si>
    <t>Tr= 390P=199, T=-34</t>
  </si>
  <si>
    <t>Tr= 420P=199, T=-34</t>
  </si>
  <si>
    <t>Tr= 430P=199, T=-34</t>
  </si>
  <si>
    <t>Tr= 410 P=194, T=-34</t>
  </si>
  <si>
    <t>Tr= 410 P=189, T=-34</t>
  </si>
  <si>
    <t>Tr= 410 P=199, T=-29</t>
  </si>
  <si>
    <t>Tr= 410 P=199, T=-24</t>
  </si>
  <si>
    <t>Tr= 410 P=199, T=-39</t>
  </si>
  <si>
    <t>Tr= 410 P=199, T=-44</t>
  </si>
  <si>
    <t>Base Case</t>
  </si>
  <si>
    <t>Change in Reactor temperature</t>
  </si>
  <si>
    <t>Change in Pressure</t>
  </si>
  <si>
    <t>Change in Temperature</t>
  </si>
  <si>
    <t>Temperature</t>
  </si>
  <si>
    <t>K(H2)</t>
  </si>
  <si>
    <t>K(N2)</t>
  </si>
  <si>
    <t>K(Ar)</t>
  </si>
  <si>
    <t>K(CH4)</t>
  </si>
  <si>
    <t>K(NH3)</t>
  </si>
  <si>
    <t>Delta X (H2 e N2) - absolute</t>
  </si>
  <si>
    <t>Compressor 2 - irrelevant</t>
  </si>
  <si>
    <t>Error in outlet temperature varying inlet tempearature (at constant pressure)</t>
  </si>
  <si>
    <t>file</t>
  </si>
  <si>
    <t>Scenario 1</t>
  </si>
  <si>
    <t>Scenario 2</t>
  </si>
  <si>
    <t xml:space="preserve"> Scenario  3</t>
  </si>
  <si>
    <t xml:space="preserve"> Scenario 4</t>
  </si>
  <si>
    <t>Error (abs)</t>
  </si>
  <si>
    <t>Error(%)</t>
  </si>
  <si>
    <t>Gain</t>
  </si>
  <si>
    <t>Cp data obtained from: Introduction to Chemical Engineering Thermodynamics - 6th edition - J. M. Smith, H. C. Van - Hess and Michael M. Abbott -  McGraw-Hill Publishing Company</t>
  </si>
  <si>
    <t>Q - Simulation (MW)</t>
  </si>
  <si>
    <t>Effect of considering CP contant with the temperature and evaluated at a mean temperature = T_out - T_in</t>
  </si>
  <si>
    <t>while the other is to test the effect of the outlet heater temperature on the Hout.  The exchanger "Q" will be calculated in the</t>
  </si>
  <si>
    <t>simplified model using m.(delta H)</t>
  </si>
  <si>
    <t>The objective here is to adjust 2 linear curves: One to predict the effect of the outlet reactor temperature in the outlet enthalpy (Hout)</t>
  </si>
  <si>
    <t>The objective of this test is to evaluate the error commited when hwe assume that no mixing heat is</t>
  </si>
  <si>
    <t>involved when we mix the outlet streams of both compressors. A comparison is made calculating</t>
  </si>
  <si>
    <t>the outlet mixer temperature (simulation) vs the mean temperature (weighted by the molar flows).</t>
  </si>
  <si>
    <t>Relative error</t>
  </si>
  <si>
    <t>Change in outlet temperature with varying composition (at constant pressure)</t>
  </si>
  <si>
    <t>It is also the evaluated change in temperature varying the composition and the error commited when assuming a constant temperature.</t>
  </si>
  <si>
    <t>It is also the evaluated how a change in inlet temperature affects the outlet temperature of Compressor 1 and 2.</t>
  </si>
  <si>
    <t>R^2</t>
  </si>
  <si>
    <t>Linear adjustment</t>
  </si>
  <si>
    <t>The aim of this test is to fit a linear curve relating the outlet temperature (dependent) and outlet pressure (independent) of Compressor 1 and 2</t>
  </si>
  <si>
    <t>ammonia_test_flash.ise</t>
  </si>
  <si>
    <t>The objetive of this test is to chech wich variable have the most important influence on the outlet flash composition in order to predict the coeficient</t>
  </si>
  <si>
    <t>The first test evaluate the influence of the reactor temperature</t>
  </si>
  <si>
    <t>The second evaluate the flash pressure</t>
  </si>
  <si>
    <t>The third, the flash temperature</t>
  </si>
  <si>
    <t>Error(H2)</t>
  </si>
  <si>
    <t>Error(N2)</t>
  </si>
  <si>
    <t>Error(Ar)</t>
  </si>
  <si>
    <t>Error(CH4)</t>
  </si>
  <si>
    <t>Error(NH3)</t>
  </si>
  <si>
    <t>Since the flash temperature have the major contribution, a data fit of Temperature vs. Ki(partition coeficiet) was fitted.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</si>
</sst>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0.000%"/>
    <numFmt numFmtId="166" formatCode="0.000"/>
    <numFmt numFmtId="167" formatCode="0.000000"/>
    <numFmt numFmtId="169" formatCode="0.0000"/>
    <numFmt numFmtId="170" formatCode="0.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1" applyFont="1"/>
    <xf numFmtId="10" fontId="0" fillId="0" borderId="0" xfId="1" applyNumberFormat="1" applyFont="1"/>
    <xf numFmtId="165" fontId="0" fillId="0" borderId="0" xfId="1" applyNumberFormat="1" applyFont="1"/>
    <xf numFmtId="2" fontId="0" fillId="0" borderId="0" xfId="0" applyNumberFormat="1"/>
    <xf numFmtId="166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166" fontId="1" fillId="0" borderId="0" xfId="1" applyNumberFormat="1" applyFont="1"/>
    <xf numFmtId="169" fontId="1" fillId="0" borderId="0" xfId="1" applyNumberFormat="1" applyFont="1"/>
    <xf numFmtId="4" fontId="0" fillId="0" borderId="0" xfId="0" applyNumberFormat="1"/>
    <xf numFmtId="0" fontId="0" fillId="0" borderId="0" xfId="0" applyAlignment="1"/>
    <xf numFmtId="167" fontId="1" fillId="0" borderId="0" xfId="1" applyNumberFormat="1" applyFont="1"/>
    <xf numFmtId="0" fontId="0" fillId="2" borderId="0" xfId="0" applyFill="1"/>
    <xf numFmtId="170" fontId="0" fillId="2" borderId="0" xfId="0" applyNumberFormat="1" applyFill="1"/>
    <xf numFmtId="164" fontId="1" fillId="2" borderId="0" xfId="1" applyNumberFormat="1" applyFont="1" applyFill="1"/>
    <xf numFmtId="0" fontId="0" fillId="3" borderId="0" xfId="0" applyFill="1"/>
    <xf numFmtId="164" fontId="1" fillId="3" borderId="0" xfId="1" applyNumberFormat="1" applyFont="1" applyFill="1"/>
    <xf numFmtId="0" fontId="0" fillId="4" borderId="0" xfId="0" applyFill="1"/>
    <xf numFmtId="164" fontId="1" fillId="4" borderId="0" xfId="1" applyNumberFormat="1" applyFont="1" applyFill="1"/>
    <xf numFmtId="0" fontId="0" fillId="5" borderId="0" xfId="0" applyFill="1"/>
    <xf numFmtId="170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/>
    <xf numFmtId="10" fontId="0" fillId="6" borderId="0" xfId="1" applyNumberFormat="1" applyFont="1" applyFill="1"/>
    <xf numFmtId="0" fontId="0" fillId="0" borderId="0" xfId="0" applyAlignment="1">
      <alignment horizontal="center"/>
    </xf>
    <xf numFmtId="0" fontId="0" fillId="7" borderId="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7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</c:trendlineLbl>
          </c:trendline>
          <c:xVal>
            <c:numRef>
              <c:f>flash!$M$9:$M$13</c:f>
              <c:numCache>
                <c:formatCode>General</c:formatCode>
                <c:ptCount val="5"/>
                <c:pt idx="0">
                  <c:v>-34</c:v>
                </c:pt>
                <c:pt idx="1">
                  <c:v>-29</c:v>
                </c:pt>
                <c:pt idx="2">
                  <c:v>-24</c:v>
                </c:pt>
                <c:pt idx="3">
                  <c:v>-39</c:v>
                </c:pt>
                <c:pt idx="4">
                  <c:v>-44</c:v>
                </c:pt>
              </c:numCache>
            </c:numRef>
          </c:xVal>
          <c:yVal>
            <c:numRef>
              <c:f>flash!$N$9:$N$13</c:f>
              <c:numCache>
                <c:formatCode>General</c:formatCode>
                <c:ptCount val="5"/>
                <c:pt idx="0" formatCode="0.00000000000">
                  <c:v>125.69724514629168</c:v>
                </c:pt>
                <c:pt idx="1">
                  <c:v>110.59472594986663</c:v>
                </c:pt>
                <c:pt idx="2">
                  <c:v>97.689488585426943</c:v>
                </c:pt>
                <c:pt idx="3">
                  <c:v>143.47654503565082</c:v>
                </c:pt>
                <c:pt idx="4">
                  <c:v>164.53934170749019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26752"/>
        <c:axId val="196028288"/>
      </c:scatterChart>
      <c:valAx>
        <c:axId val="19602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96028288"/>
        <c:crosses val="autoZero"/>
        <c:crossBetween val="midCat"/>
      </c:valAx>
      <c:valAx>
        <c:axId val="196028288"/>
        <c:scaling>
          <c:orientation val="minMax"/>
          <c:min val="80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96026752"/>
        <c:crosses val="autoZero"/>
        <c:crossBetween val="midCat"/>
        <c:majorUnit val="20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638175</xdr:colOff>
      <xdr:row>18</xdr:row>
      <xdr:rowOff>142875</xdr:rowOff>
    </xdr:from>
    <xdr:to>
      <xdr:col>16</xdr:col>
      <xdr:colOff>400050</xdr:colOff>
      <xdr:row>33</xdr:row>
      <xdr:rowOff>28575</xdr:rowOff>
    </xdr:to>
    <xdr:graphicFrame macro="">
      <xdr:nvGraphicFramePr>
        <xdr:cNvPr id="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12</xdr:row>
      <xdr:rowOff>66675</xdr:rowOff>
    </xdr:from>
    <xdr:to>
      <xdr:col>11</xdr:col>
      <xdr:colOff>1009650</xdr:colOff>
      <xdr:row>22</xdr:row>
      <xdr:rowOff>1</xdr:rowOff>
    </xdr:to>
    <xdr:cxnSp macro="">
      <xdr:nvCxnSpPr>
        <xdr:cNvPr id="4" name="Conector de seta reta 3"/>
        <xdr:cNvCxnSpPr/>
      </xdr:nvCxnSpPr>
      <xdr:spPr>
        <a:xfrm flipV="1">
          <a:off x="14249400" y="2352675"/>
          <a:ext cx="695325" cy="18383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390525</xdr:colOff>
      <xdr:row>43</xdr:row>
      <xdr:rowOff>19050</xdr:rowOff>
    </xdr:from>
    <xdr:to>
      <xdr:col>15</xdr:col>
      <xdr:colOff>526009</xdr:colOff>
      <xdr:row>59</xdr:row>
      <xdr:rowOff>119902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7639050"/>
          <a:ext cx="6126709" cy="3148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C15" sqref="C15"/>
    </sheetView>
  </sheetViews>
  <sheetFormatPr defaultRowHeight="15" x14ac:dyDescent="0.25"/>
  <cols>
    <col min="1" max="1" width="19.28515625" customWidth="1"/>
    <col min="2" max="2" width="22.5703125" bestFit="1" customWidth="1"/>
    <col min="3" max="5" width="18.28515625" bestFit="1" customWidth="1"/>
    <col min="6" max="11" width="18.7109375" bestFit="1" customWidth="1"/>
    <col min="12" max="13" width="15.7109375" bestFit="1" customWidth="1"/>
    <col min="14" max="14" width="19.42578125" bestFit="1" customWidth="1"/>
    <col min="15" max="15" width="18.7109375" bestFit="1" customWidth="1"/>
    <col min="16" max="18" width="18.28515625" bestFit="1" customWidth="1"/>
    <col min="19" max="24" width="18.7109375" bestFit="1" customWidth="1"/>
    <col min="27" max="27" width="15.28515625" customWidth="1"/>
    <col min="28" max="28" width="14.7109375" bestFit="1" customWidth="1"/>
    <col min="29" max="31" width="13.7109375" bestFit="1" customWidth="1"/>
    <col min="258" max="258" width="33" customWidth="1"/>
    <col min="262" max="262" width="9.5703125" bestFit="1" customWidth="1"/>
    <col min="266" max="266" width="19.42578125" bestFit="1" customWidth="1"/>
    <col min="268" max="268" width="15.7109375" bestFit="1" customWidth="1"/>
    <col min="270" max="270" width="19.42578125" bestFit="1" customWidth="1"/>
    <col min="271" max="271" width="18.7109375" bestFit="1" customWidth="1"/>
    <col min="272" max="274" width="18.28515625" bestFit="1" customWidth="1"/>
    <col min="275" max="280" width="18.7109375" bestFit="1" customWidth="1"/>
    <col min="283" max="283" width="15.28515625" customWidth="1"/>
    <col min="284" max="284" width="14.7109375" bestFit="1" customWidth="1"/>
    <col min="285" max="287" width="13.7109375" bestFit="1" customWidth="1"/>
    <col min="514" max="514" width="33" customWidth="1"/>
    <col min="518" max="518" width="9.5703125" bestFit="1" customWidth="1"/>
    <col min="522" max="522" width="19.42578125" bestFit="1" customWidth="1"/>
    <col min="524" max="524" width="15.7109375" bestFit="1" customWidth="1"/>
    <col min="526" max="526" width="19.42578125" bestFit="1" customWidth="1"/>
    <col min="527" max="527" width="18.7109375" bestFit="1" customWidth="1"/>
    <col min="528" max="530" width="18.28515625" bestFit="1" customWidth="1"/>
    <col min="531" max="536" width="18.7109375" bestFit="1" customWidth="1"/>
    <col min="539" max="539" width="15.28515625" customWidth="1"/>
    <col min="540" max="540" width="14.7109375" bestFit="1" customWidth="1"/>
    <col min="541" max="543" width="13.7109375" bestFit="1" customWidth="1"/>
    <col min="770" max="770" width="33" customWidth="1"/>
    <col min="774" max="774" width="9.5703125" bestFit="1" customWidth="1"/>
    <col min="778" max="778" width="19.42578125" bestFit="1" customWidth="1"/>
    <col min="780" max="780" width="15.7109375" bestFit="1" customWidth="1"/>
    <col min="782" max="782" width="19.42578125" bestFit="1" customWidth="1"/>
    <col min="783" max="783" width="18.7109375" bestFit="1" customWidth="1"/>
    <col min="784" max="786" width="18.28515625" bestFit="1" customWidth="1"/>
    <col min="787" max="792" width="18.7109375" bestFit="1" customWidth="1"/>
    <col min="795" max="795" width="15.28515625" customWidth="1"/>
    <col min="796" max="796" width="14.7109375" bestFit="1" customWidth="1"/>
    <col min="797" max="799" width="13.7109375" bestFit="1" customWidth="1"/>
    <col min="1026" max="1026" width="33" customWidth="1"/>
    <col min="1030" max="1030" width="9.5703125" bestFit="1" customWidth="1"/>
    <col min="1034" max="1034" width="19.42578125" bestFit="1" customWidth="1"/>
    <col min="1036" max="1036" width="15.7109375" bestFit="1" customWidth="1"/>
    <col min="1038" max="1038" width="19.42578125" bestFit="1" customWidth="1"/>
    <col min="1039" max="1039" width="18.7109375" bestFit="1" customWidth="1"/>
    <col min="1040" max="1042" width="18.28515625" bestFit="1" customWidth="1"/>
    <col min="1043" max="1048" width="18.7109375" bestFit="1" customWidth="1"/>
    <col min="1051" max="1051" width="15.28515625" customWidth="1"/>
    <col min="1052" max="1052" width="14.7109375" bestFit="1" customWidth="1"/>
    <col min="1053" max="1055" width="13.7109375" bestFit="1" customWidth="1"/>
    <col min="1282" max="1282" width="33" customWidth="1"/>
    <col min="1286" max="1286" width="9.5703125" bestFit="1" customWidth="1"/>
    <col min="1290" max="1290" width="19.42578125" bestFit="1" customWidth="1"/>
    <col min="1292" max="1292" width="15.7109375" bestFit="1" customWidth="1"/>
    <col min="1294" max="1294" width="19.42578125" bestFit="1" customWidth="1"/>
    <col min="1295" max="1295" width="18.7109375" bestFit="1" customWidth="1"/>
    <col min="1296" max="1298" width="18.28515625" bestFit="1" customWidth="1"/>
    <col min="1299" max="1304" width="18.7109375" bestFit="1" customWidth="1"/>
    <col min="1307" max="1307" width="15.28515625" customWidth="1"/>
    <col min="1308" max="1308" width="14.7109375" bestFit="1" customWidth="1"/>
    <col min="1309" max="1311" width="13.7109375" bestFit="1" customWidth="1"/>
    <col min="1538" max="1538" width="33" customWidth="1"/>
    <col min="1542" max="1542" width="9.5703125" bestFit="1" customWidth="1"/>
    <col min="1546" max="1546" width="19.42578125" bestFit="1" customWidth="1"/>
    <col min="1548" max="1548" width="15.7109375" bestFit="1" customWidth="1"/>
    <col min="1550" max="1550" width="19.42578125" bestFit="1" customWidth="1"/>
    <col min="1551" max="1551" width="18.7109375" bestFit="1" customWidth="1"/>
    <col min="1552" max="1554" width="18.28515625" bestFit="1" customWidth="1"/>
    <col min="1555" max="1560" width="18.7109375" bestFit="1" customWidth="1"/>
    <col min="1563" max="1563" width="15.28515625" customWidth="1"/>
    <col min="1564" max="1564" width="14.7109375" bestFit="1" customWidth="1"/>
    <col min="1565" max="1567" width="13.7109375" bestFit="1" customWidth="1"/>
    <col min="1794" max="1794" width="33" customWidth="1"/>
    <col min="1798" max="1798" width="9.5703125" bestFit="1" customWidth="1"/>
    <col min="1802" max="1802" width="19.42578125" bestFit="1" customWidth="1"/>
    <col min="1804" max="1804" width="15.7109375" bestFit="1" customWidth="1"/>
    <col min="1806" max="1806" width="19.42578125" bestFit="1" customWidth="1"/>
    <col min="1807" max="1807" width="18.7109375" bestFit="1" customWidth="1"/>
    <col min="1808" max="1810" width="18.28515625" bestFit="1" customWidth="1"/>
    <col min="1811" max="1816" width="18.7109375" bestFit="1" customWidth="1"/>
    <col min="1819" max="1819" width="15.28515625" customWidth="1"/>
    <col min="1820" max="1820" width="14.7109375" bestFit="1" customWidth="1"/>
    <col min="1821" max="1823" width="13.7109375" bestFit="1" customWidth="1"/>
    <col min="2050" max="2050" width="33" customWidth="1"/>
    <col min="2054" max="2054" width="9.5703125" bestFit="1" customWidth="1"/>
    <col min="2058" max="2058" width="19.42578125" bestFit="1" customWidth="1"/>
    <col min="2060" max="2060" width="15.7109375" bestFit="1" customWidth="1"/>
    <col min="2062" max="2062" width="19.42578125" bestFit="1" customWidth="1"/>
    <col min="2063" max="2063" width="18.7109375" bestFit="1" customWidth="1"/>
    <col min="2064" max="2066" width="18.28515625" bestFit="1" customWidth="1"/>
    <col min="2067" max="2072" width="18.7109375" bestFit="1" customWidth="1"/>
    <col min="2075" max="2075" width="15.28515625" customWidth="1"/>
    <col min="2076" max="2076" width="14.7109375" bestFit="1" customWidth="1"/>
    <col min="2077" max="2079" width="13.7109375" bestFit="1" customWidth="1"/>
    <col min="2306" max="2306" width="33" customWidth="1"/>
    <col min="2310" max="2310" width="9.5703125" bestFit="1" customWidth="1"/>
    <col min="2314" max="2314" width="19.42578125" bestFit="1" customWidth="1"/>
    <col min="2316" max="2316" width="15.7109375" bestFit="1" customWidth="1"/>
    <col min="2318" max="2318" width="19.42578125" bestFit="1" customWidth="1"/>
    <col min="2319" max="2319" width="18.7109375" bestFit="1" customWidth="1"/>
    <col min="2320" max="2322" width="18.28515625" bestFit="1" customWidth="1"/>
    <col min="2323" max="2328" width="18.7109375" bestFit="1" customWidth="1"/>
    <col min="2331" max="2331" width="15.28515625" customWidth="1"/>
    <col min="2332" max="2332" width="14.7109375" bestFit="1" customWidth="1"/>
    <col min="2333" max="2335" width="13.7109375" bestFit="1" customWidth="1"/>
    <col min="2562" max="2562" width="33" customWidth="1"/>
    <col min="2566" max="2566" width="9.5703125" bestFit="1" customWidth="1"/>
    <col min="2570" max="2570" width="19.42578125" bestFit="1" customWidth="1"/>
    <col min="2572" max="2572" width="15.7109375" bestFit="1" customWidth="1"/>
    <col min="2574" max="2574" width="19.42578125" bestFit="1" customWidth="1"/>
    <col min="2575" max="2575" width="18.7109375" bestFit="1" customWidth="1"/>
    <col min="2576" max="2578" width="18.28515625" bestFit="1" customWidth="1"/>
    <col min="2579" max="2584" width="18.7109375" bestFit="1" customWidth="1"/>
    <col min="2587" max="2587" width="15.28515625" customWidth="1"/>
    <col min="2588" max="2588" width="14.7109375" bestFit="1" customWidth="1"/>
    <col min="2589" max="2591" width="13.7109375" bestFit="1" customWidth="1"/>
    <col min="2818" max="2818" width="33" customWidth="1"/>
    <col min="2822" max="2822" width="9.5703125" bestFit="1" customWidth="1"/>
    <col min="2826" max="2826" width="19.42578125" bestFit="1" customWidth="1"/>
    <col min="2828" max="2828" width="15.7109375" bestFit="1" customWidth="1"/>
    <col min="2830" max="2830" width="19.42578125" bestFit="1" customWidth="1"/>
    <col min="2831" max="2831" width="18.7109375" bestFit="1" customWidth="1"/>
    <col min="2832" max="2834" width="18.28515625" bestFit="1" customWidth="1"/>
    <col min="2835" max="2840" width="18.7109375" bestFit="1" customWidth="1"/>
    <col min="2843" max="2843" width="15.28515625" customWidth="1"/>
    <col min="2844" max="2844" width="14.7109375" bestFit="1" customWidth="1"/>
    <col min="2845" max="2847" width="13.7109375" bestFit="1" customWidth="1"/>
    <col min="3074" max="3074" width="33" customWidth="1"/>
    <col min="3078" max="3078" width="9.5703125" bestFit="1" customWidth="1"/>
    <col min="3082" max="3082" width="19.42578125" bestFit="1" customWidth="1"/>
    <col min="3084" max="3084" width="15.7109375" bestFit="1" customWidth="1"/>
    <col min="3086" max="3086" width="19.42578125" bestFit="1" customWidth="1"/>
    <col min="3087" max="3087" width="18.7109375" bestFit="1" customWidth="1"/>
    <col min="3088" max="3090" width="18.28515625" bestFit="1" customWidth="1"/>
    <col min="3091" max="3096" width="18.7109375" bestFit="1" customWidth="1"/>
    <col min="3099" max="3099" width="15.28515625" customWidth="1"/>
    <col min="3100" max="3100" width="14.7109375" bestFit="1" customWidth="1"/>
    <col min="3101" max="3103" width="13.7109375" bestFit="1" customWidth="1"/>
    <col min="3330" max="3330" width="33" customWidth="1"/>
    <col min="3334" max="3334" width="9.5703125" bestFit="1" customWidth="1"/>
    <col min="3338" max="3338" width="19.42578125" bestFit="1" customWidth="1"/>
    <col min="3340" max="3340" width="15.7109375" bestFit="1" customWidth="1"/>
    <col min="3342" max="3342" width="19.42578125" bestFit="1" customWidth="1"/>
    <col min="3343" max="3343" width="18.7109375" bestFit="1" customWidth="1"/>
    <col min="3344" max="3346" width="18.28515625" bestFit="1" customWidth="1"/>
    <col min="3347" max="3352" width="18.7109375" bestFit="1" customWidth="1"/>
    <col min="3355" max="3355" width="15.28515625" customWidth="1"/>
    <col min="3356" max="3356" width="14.7109375" bestFit="1" customWidth="1"/>
    <col min="3357" max="3359" width="13.7109375" bestFit="1" customWidth="1"/>
    <col min="3586" max="3586" width="33" customWidth="1"/>
    <col min="3590" max="3590" width="9.5703125" bestFit="1" customWidth="1"/>
    <col min="3594" max="3594" width="19.42578125" bestFit="1" customWidth="1"/>
    <col min="3596" max="3596" width="15.7109375" bestFit="1" customWidth="1"/>
    <col min="3598" max="3598" width="19.42578125" bestFit="1" customWidth="1"/>
    <col min="3599" max="3599" width="18.7109375" bestFit="1" customWidth="1"/>
    <col min="3600" max="3602" width="18.28515625" bestFit="1" customWidth="1"/>
    <col min="3603" max="3608" width="18.7109375" bestFit="1" customWidth="1"/>
    <col min="3611" max="3611" width="15.28515625" customWidth="1"/>
    <col min="3612" max="3612" width="14.7109375" bestFit="1" customWidth="1"/>
    <col min="3613" max="3615" width="13.7109375" bestFit="1" customWidth="1"/>
    <col min="3842" max="3842" width="33" customWidth="1"/>
    <col min="3846" max="3846" width="9.5703125" bestFit="1" customWidth="1"/>
    <col min="3850" max="3850" width="19.42578125" bestFit="1" customWidth="1"/>
    <col min="3852" max="3852" width="15.7109375" bestFit="1" customWidth="1"/>
    <col min="3854" max="3854" width="19.42578125" bestFit="1" customWidth="1"/>
    <col min="3855" max="3855" width="18.7109375" bestFit="1" customWidth="1"/>
    <col min="3856" max="3858" width="18.28515625" bestFit="1" customWidth="1"/>
    <col min="3859" max="3864" width="18.7109375" bestFit="1" customWidth="1"/>
    <col min="3867" max="3867" width="15.28515625" customWidth="1"/>
    <col min="3868" max="3868" width="14.7109375" bestFit="1" customWidth="1"/>
    <col min="3869" max="3871" width="13.7109375" bestFit="1" customWidth="1"/>
    <col min="4098" max="4098" width="33" customWidth="1"/>
    <col min="4102" max="4102" width="9.5703125" bestFit="1" customWidth="1"/>
    <col min="4106" max="4106" width="19.42578125" bestFit="1" customWidth="1"/>
    <col min="4108" max="4108" width="15.7109375" bestFit="1" customWidth="1"/>
    <col min="4110" max="4110" width="19.42578125" bestFit="1" customWidth="1"/>
    <col min="4111" max="4111" width="18.7109375" bestFit="1" customWidth="1"/>
    <col min="4112" max="4114" width="18.28515625" bestFit="1" customWidth="1"/>
    <col min="4115" max="4120" width="18.7109375" bestFit="1" customWidth="1"/>
    <col min="4123" max="4123" width="15.28515625" customWidth="1"/>
    <col min="4124" max="4124" width="14.7109375" bestFit="1" customWidth="1"/>
    <col min="4125" max="4127" width="13.7109375" bestFit="1" customWidth="1"/>
    <col min="4354" max="4354" width="33" customWidth="1"/>
    <col min="4358" max="4358" width="9.5703125" bestFit="1" customWidth="1"/>
    <col min="4362" max="4362" width="19.42578125" bestFit="1" customWidth="1"/>
    <col min="4364" max="4364" width="15.7109375" bestFit="1" customWidth="1"/>
    <col min="4366" max="4366" width="19.42578125" bestFit="1" customWidth="1"/>
    <col min="4367" max="4367" width="18.7109375" bestFit="1" customWidth="1"/>
    <col min="4368" max="4370" width="18.28515625" bestFit="1" customWidth="1"/>
    <col min="4371" max="4376" width="18.7109375" bestFit="1" customWidth="1"/>
    <col min="4379" max="4379" width="15.28515625" customWidth="1"/>
    <col min="4380" max="4380" width="14.7109375" bestFit="1" customWidth="1"/>
    <col min="4381" max="4383" width="13.7109375" bestFit="1" customWidth="1"/>
    <col min="4610" max="4610" width="33" customWidth="1"/>
    <col min="4614" max="4614" width="9.5703125" bestFit="1" customWidth="1"/>
    <col min="4618" max="4618" width="19.42578125" bestFit="1" customWidth="1"/>
    <col min="4620" max="4620" width="15.7109375" bestFit="1" customWidth="1"/>
    <col min="4622" max="4622" width="19.42578125" bestFit="1" customWidth="1"/>
    <col min="4623" max="4623" width="18.7109375" bestFit="1" customWidth="1"/>
    <col min="4624" max="4626" width="18.28515625" bestFit="1" customWidth="1"/>
    <col min="4627" max="4632" width="18.7109375" bestFit="1" customWidth="1"/>
    <col min="4635" max="4635" width="15.28515625" customWidth="1"/>
    <col min="4636" max="4636" width="14.7109375" bestFit="1" customWidth="1"/>
    <col min="4637" max="4639" width="13.7109375" bestFit="1" customWidth="1"/>
    <col min="4866" max="4866" width="33" customWidth="1"/>
    <col min="4870" max="4870" width="9.5703125" bestFit="1" customWidth="1"/>
    <col min="4874" max="4874" width="19.42578125" bestFit="1" customWidth="1"/>
    <col min="4876" max="4876" width="15.7109375" bestFit="1" customWidth="1"/>
    <col min="4878" max="4878" width="19.42578125" bestFit="1" customWidth="1"/>
    <col min="4879" max="4879" width="18.7109375" bestFit="1" customWidth="1"/>
    <col min="4880" max="4882" width="18.28515625" bestFit="1" customWidth="1"/>
    <col min="4883" max="4888" width="18.7109375" bestFit="1" customWidth="1"/>
    <col min="4891" max="4891" width="15.28515625" customWidth="1"/>
    <col min="4892" max="4892" width="14.7109375" bestFit="1" customWidth="1"/>
    <col min="4893" max="4895" width="13.7109375" bestFit="1" customWidth="1"/>
    <col min="5122" max="5122" width="33" customWidth="1"/>
    <col min="5126" max="5126" width="9.5703125" bestFit="1" customWidth="1"/>
    <col min="5130" max="5130" width="19.42578125" bestFit="1" customWidth="1"/>
    <col min="5132" max="5132" width="15.7109375" bestFit="1" customWidth="1"/>
    <col min="5134" max="5134" width="19.42578125" bestFit="1" customWidth="1"/>
    <col min="5135" max="5135" width="18.7109375" bestFit="1" customWidth="1"/>
    <col min="5136" max="5138" width="18.28515625" bestFit="1" customWidth="1"/>
    <col min="5139" max="5144" width="18.7109375" bestFit="1" customWidth="1"/>
    <col min="5147" max="5147" width="15.28515625" customWidth="1"/>
    <col min="5148" max="5148" width="14.7109375" bestFit="1" customWidth="1"/>
    <col min="5149" max="5151" width="13.7109375" bestFit="1" customWidth="1"/>
    <col min="5378" max="5378" width="33" customWidth="1"/>
    <col min="5382" max="5382" width="9.5703125" bestFit="1" customWidth="1"/>
    <col min="5386" max="5386" width="19.42578125" bestFit="1" customWidth="1"/>
    <col min="5388" max="5388" width="15.7109375" bestFit="1" customWidth="1"/>
    <col min="5390" max="5390" width="19.42578125" bestFit="1" customWidth="1"/>
    <col min="5391" max="5391" width="18.7109375" bestFit="1" customWidth="1"/>
    <col min="5392" max="5394" width="18.28515625" bestFit="1" customWidth="1"/>
    <col min="5395" max="5400" width="18.7109375" bestFit="1" customWidth="1"/>
    <col min="5403" max="5403" width="15.28515625" customWidth="1"/>
    <col min="5404" max="5404" width="14.7109375" bestFit="1" customWidth="1"/>
    <col min="5405" max="5407" width="13.7109375" bestFit="1" customWidth="1"/>
    <col min="5634" max="5634" width="33" customWidth="1"/>
    <col min="5638" max="5638" width="9.5703125" bestFit="1" customWidth="1"/>
    <col min="5642" max="5642" width="19.42578125" bestFit="1" customWidth="1"/>
    <col min="5644" max="5644" width="15.7109375" bestFit="1" customWidth="1"/>
    <col min="5646" max="5646" width="19.42578125" bestFit="1" customWidth="1"/>
    <col min="5647" max="5647" width="18.7109375" bestFit="1" customWidth="1"/>
    <col min="5648" max="5650" width="18.28515625" bestFit="1" customWidth="1"/>
    <col min="5651" max="5656" width="18.7109375" bestFit="1" customWidth="1"/>
    <col min="5659" max="5659" width="15.28515625" customWidth="1"/>
    <col min="5660" max="5660" width="14.7109375" bestFit="1" customWidth="1"/>
    <col min="5661" max="5663" width="13.7109375" bestFit="1" customWidth="1"/>
    <col min="5890" max="5890" width="33" customWidth="1"/>
    <col min="5894" max="5894" width="9.5703125" bestFit="1" customWidth="1"/>
    <col min="5898" max="5898" width="19.42578125" bestFit="1" customWidth="1"/>
    <col min="5900" max="5900" width="15.7109375" bestFit="1" customWidth="1"/>
    <col min="5902" max="5902" width="19.42578125" bestFit="1" customWidth="1"/>
    <col min="5903" max="5903" width="18.7109375" bestFit="1" customWidth="1"/>
    <col min="5904" max="5906" width="18.28515625" bestFit="1" customWidth="1"/>
    <col min="5907" max="5912" width="18.7109375" bestFit="1" customWidth="1"/>
    <col min="5915" max="5915" width="15.28515625" customWidth="1"/>
    <col min="5916" max="5916" width="14.7109375" bestFit="1" customWidth="1"/>
    <col min="5917" max="5919" width="13.7109375" bestFit="1" customWidth="1"/>
    <col min="6146" max="6146" width="33" customWidth="1"/>
    <col min="6150" max="6150" width="9.5703125" bestFit="1" customWidth="1"/>
    <col min="6154" max="6154" width="19.42578125" bestFit="1" customWidth="1"/>
    <col min="6156" max="6156" width="15.7109375" bestFit="1" customWidth="1"/>
    <col min="6158" max="6158" width="19.42578125" bestFit="1" customWidth="1"/>
    <col min="6159" max="6159" width="18.7109375" bestFit="1" customWidth="1"/>
    <col min="6160" max="6162" width="18.28515625" bestFit="1" customWidth="1"/>
    <col min="6163" max="6168" width="18.7109375" bestFit="1" customWidth="1"/>
    <col min="6171" max="6171" width="15.28515625" customWidth="1"/>
    <col min="6172" max="6172" width="14.7109375" bestFit="1" customWidth="1"/>
    <col min="6173" max="6175" width="13.7109375" bestFit="1" customWidth="1"/>
    <col min="6402" max="6402" width="33" customWidth="1"/>
    <col min="6406" max="6406" width="9.5703125" bestFit="1" customWidth="1"/>
    <col min="6410" max="6410" width="19.42578125" bestFit="1" customWidth="1"/>
    <col min="6412" max="6412" width="15.7109375" bestFit="1" customWidth="1"/>
    <col min="6414" max="6414" width="19.42578125" bestFit="1" customWidth="1"/>
    <col min="6415" max="6415" width="18.7109375" bestFit="1" customWidth="1"/>
    <col min="6416" max="6418" width="18.28515625" bestFit="1" customWidth="1"/>
    <col min="6419" max="6424" width="18.7109375" bestFit="1" customWidth="1"/>
    <col min="6427" max="6427" width="15.28515625" customWidth="1"/>
    <col min="6428" max="6428" width="14.7109375" bestFit="1" customWidth="1"/>
    <col min="6429" max="6431" width="13.7109375" bestFit="1" customWidth="1"/>
    <col min="6658" max="6658" width="33" customWidth="1"/>
    <col min="6662" max="6662" width="9.5703125" bestFit="1" customWidth="1"/>
    <col min="6666" max="6666" width="19.42578125" bestFit="1" customWidth="1"/>
    <col min="6668" max="6668" width="15.7109375" bestFit="1" customWidth="1"/>
    <col min="6670" max="6670" width="19.42578125" bestFit="1" customWidth="1"/>
    <col min="6671" max="6671" width="18.7109375" bestFit="1" customWidth="1"/>
    <col min="6672" max="6674" width="18.28515625" bestFit="1" customWidth="1"/>
    <col min="6675" max="6680" width="18.7109375" bestFit="1" customWidth="1"/>
    <col min="6683" max="6683" width="15.28515625" customWidth="1"/>
    <col min="6684" max="6684" width="14.7109375" bestFit="1" customWidth="1"/>
    <col min="6685" max="6687" width="13.7109375" bestFit="1" customWidth="1"/>
    <col min="6914" max="6914" width="33" customWidth="1"/>
    <col min="6918" max="6918" width="9.5703125" bestFit="1" customWidth="1"/>
    <col min="6922" max="6922" width="19.42578125" bestFit="1" customWidth="1"/>
    <col min="6924" max="6924" width="15.7109375" bestFit="1" customWidth="1"/>
    <col min="6926" max="6926" width="19.42578125" bestFit="1" customWidth="1"/>
    <col min="6927" max="6927" width="18.7109375" bestFit="1" customWidth="1"/>
    <col min="6928" max="6930" width="18.28515625" bestFit="1" customWidth="1"/>
    <col min="6931" max="6936" width="18.7109375" bestFit="1" customWidth="1"/>
    <col min="6939" max="6939" width="15.28515625" customWidth="1"/>
    <col min="6940" max="6940" width="14.7109375" bestFit="1" customWidth="1"/>
    <col min="6941" max="6943" width="13.7109375" bestFit="1" customWidth="1"/>
    <col min="7170" max="7170" width="33" customWidth="1"/>
    <col min="7174" max="7174" width="9.5703125" bestFit="1" customWidth="1"/>
    <col min="7178" max="7178" width="19.42578125" bestFit="1" customWidth="1"/>
    <col min="7180" max="7180" width="15.7109375" bestFit="1" customWidth="1"/>
    <col min="7182" max="7182" width="19.42578125" bestFit="1" customWidth="1"/>
    <col min="7183" max="7183" width="18.7109375" bestFit="1" customWidth="1"/>
    <col min="7184" max="7186" width="18.28515625" bestFit="1" customWidth="1"/>
    <col min="7187" max="7192" width="18.7109375" bestFit="1" customWidth="1"/>
    <col min="7195" max="7195" width="15.28515625" customWidth="1"/>
    <col min="7196" max="7196" width="14.7109375" bestFit="1" customWidth="1"/>
    <col min="7197" max="7199" width="13.7109375" bestFit="1" customWidth="1"/>
    <col min="7426" max="7426" width="33" customWidth="1"/>
    <col min="7430" max="7430" width="9.5703125" bestFit="1" customWidth="1"/>
    <col min="7434" max="7434" width="19.42578125" bestFit="1" customWidth="1"/>
    <col min="7436" max="7436" width="15.7109375" bestFit="1" customWidth="1"/>
    <col min="7438" max="7438" width="19.42578125" bestFit="1" customWidth="1"/>
    <col min="7439" max="7439" width="18.7109375" bestFit="1" customWidth="1"/>
    <col min="7440" max="7442" width="18.28515625" bestFit="1" customWidth="1"/>
    <col min="7443" max="7448" width="18.7109375" bestFit="1" customWidth="1"/>
    <col min="7451" max="7451" width="15.28515625" customWidth="1"/>
    <col min="7452" max="7452" width="14.7109375" bestFit="1" customWidth="1"/>
    <col min="7453" max="7455" width="13.7109375" bestFit="1" customWidth="1"/>
    <col min="7682" max="7682" width="33" customWidth="1"/>
    <col min="7686" max="7686" width="9.5703125" bestFit="1" customWidth="1"/>
    <col min="7690" max="7690" width="19.42578125" bestFit="1" customWidth="1"/>
    <col min="7692" max="7692" width="15.7109375" bestFit="1" customWidth="1"/>
    <col min="7694" max="7694" width="19.42578125" bestFit="1" customWidth="1"/>
    <col min="7695" max="7695" width="18.7109375" bestFit="1" customWidth="1"/>
    <col min="7696" max="7698" width="18.28515625" bestFit="1" customWidth="1"/>
    <col min="7699" max="7704" width="18.7109375" bestFit="1" customWidth="1"/>
    <col min="7707" max="7707" width="15.28515625" customWidth="1"/>
    <col min="7708" max="7708" width="14.7109375" bestFit="1" customWidth="1"/>
    <col min="7709" max="7711" width="13.7109375" bestFit="1" customWidth="1"/>
    <col min="7938" max="7938" width="33" customWidth="1"/>
    <col min="7942" max="7942" width="9.5703125" bestFit="1" customWidth="1"/>
    <col min="7946" max="7946" width="19.42578125" bestFit="1" customWidth="1"/>
    <col min="7948" max="7948" width="15.7109375" bestFit="1" customWidth="1"/>
    <col min="7950" max="7950" width="19.42578125" bestFit="1" customWidth="1"/>
    <col min="7951" max="7951" width="18.7109375" bestFit="1" customWidth="1"/>
    <col min="7952" max="7954" width="18.28515625" bestFit="1" customWidth="1"/>
    <col min="7955" max="7960" width="18.7109375" bestFit="1" customWidth="1"/>
    <col min="7963" max="7963" width="15.28515625" customWidth="1"/>
    <col min="7964" max="7964" width="14.7109375" bestFit="1" customWidth="1"/>
    <col min="7965" max="7967" width="13.7109375" bestFit="1" customWidth="1"/>
    <col min="8194" max="8194" width="33" customWidth="1"/>
    <col min="8198" max="8198" width="9.5703125" bestFit="1" customWidth="1"/>
    <col min="8202" max="8202" width="19.42578125" bestFit="1" customWidth="1"/>
    <col min="8204" max="8204" width="15.7109375" bestFit="1" customWidth="1"/>
    <col min="8206" max="8206" width="19.42578125" bestFit="1" customWidth="1"/>
    <col min="8207" max="8207" width="18.7109375" bestFit="1" customWidth="1"/>
    <col min="8208" max="8210" width="18.28515625" bestFit="1" customWidth="1"/>
    <col min="8211" max="8216" width="18.7109375" bestFit="1" customWidth="1"/>
    <col min="8219" max="8219" width="15.28515625" customWidth="1"/>
    <col min="8220" max="8220" width="14.7109375" bestFit="1" customWidth="1"/>
    <col min="8221" max="8223" width="13.7109375" bestFit="1" customWidth="1"/>
    <col min="8450" max="8450" width="33" customWidth="1"/>
    <col min="8454" max="8454" width="9.5703125" bestFit="1" customWidth="1"/>
    <col min="8458" max="8458" width="19.42578125" bestFit="1" customWidth="1"/>
    <col min="8460" max="8460" width="15.7109375" bestFit="1" customWidth="1"/>
    <col min="8462" max="8462" width="19.42578125" bestFit="1" customWidth="1"/>
    <col min="8463" max="8463" width="18.7109375" bestFit="1" customWidth="1"/>
    <col min="8464" max="8466" width="18.28515625" bestFit="1" customWidth="1"/>
    <col min="8467" max="8472" width="18.7109375" bestFit="1" customWidth="1"/>
    <col min="8475" max="8475" width="15.28515625" customWidth="1"/>
    <col min="8476" max="8476" width="14.7109375" bestFit="1" customWidth="1"/>
    <col min="8477" max="8479" width="13.7109375" bestFit="1" customWidth="1"/>
    <col min="8706" max="8706" width="33" customWidth="1"/>
    <col min="8710" max="8710" width="9.5703125" bestFit="1" customWidth="1"/>
    <col min="8714" max="8714" width="19.42578125" bestFit="1" customWidth="1"/>
    <col min="8716" max="8716" width="15.7109375" bestFit="1" customWidth="1"/>
    <col min="8718" max="8718" width="19.42578125" bestFit="1" customWidth="1"/>
    <col min="8719" max="8719" width="18.7109375" bestFit="1" customWidth="1"/>
    <col min="8720" max="8722" width="18.28515625" bestFit="1" customWidth="1"/>
    <col min="8723" max="8728" width="18.7109375" bestFit="1" customWidth="1"/>
    <col min="8731" max="8731" width="15.28515625" customWidth="1"/>
    <col min="8732" max="8732" width="14.7109375" bestFit="1" customWidth="1"/>
    <col min="8733" max="8735" width="13.7109375" bestFit="1" customWidth="1"/>
    <col min="8962" max="8962" width="33" customWidth="1"/>
    <col min="8966" max="8966" width="9.5703125" bestFit="1" customWidth="1"/>
    <col min="8970" max="8970" width="19.42578125" bestFit="1" customWidth="1"/>
    <col min="8972" max="8972" width="15.7109375" bestFit="1" customWidth="1"/>
    <col min="8974" max="8974" width="19.42578125" bestFit="1" customWidth="1"/>
    <col min="8975" max="8975" width="18.7109375" bestFit="1" customWidth="1"/>
    <col min="8976" max="8978" width="18.28515625" bestFit="1" customWidth="1"/>
    <col min="8979" max="8984" width="18.7109375" bestFit="1" customWidth="1"/>
    <col min="8987" max="8987" width="15.28515625" customWidth="1"/>
    <col min="8988" max="8988" width="14.7109375" bestFit="1" customWidth="1"/>
    <col min="8989" max="8991" width="13.7109375" bestFit="1" customWidth="1"/>
    <col min="9218" max="9218" width="33" customWidth="1"/>
    <col min="9222" max="9222" width="9.5703125" bestFit="1" customWidth="1"/>
    <col min="9226" max="9226" width="19.42578125" bestFit="1" customWidth="1"/>
    <col min="9228" max="9228" width="15.7109375" bestFit="1" customWidth="1"/>
    <col min="9230" max="9230" width="19.42578125" bestFit="1" customWidth="1"/>
    <col min="9231" max="9231" width="18.7109375" bestFit="1" customWidth="1"/>
    <col min="9232" max="9234" width="18.28515625" bestFit="1" customWidth="1"/>
    <col min="9235" max="9240" width="18.7109375" bestFit="1" customWidth="1"/>
    <col min="9243" max="9243" width="15.28515625" customWidth="1"/>
    <col min="9244" max="9244" width="14.7109375" bestFit="1" customWidth="1"/>
    <col min="9245" max="9247" width="13.7109375" bestFit="1" customWidth="1"/>
    <col min="9474" max="9474" width="33" customWidth="1"/>
    <col min="9478" max="9478" width="9.5703125" bestFit="1" customWidth="1"/>
    <col min="9482" max="9482" width="19.42578125" bestFit="1" customWidth="1"/>
    <col min="9484" max="9484" width="15.7109375" bestFit="1" customWidth="1"/>
    <col min="9486" max="9486" width="19.42578125" bestFit="1" customWidth="1"/>
    <col min="9487" max="9487" width="18.7109375" bestFit="1" customWidth="1"/>
    <col min="9488" max="9490" width="18.28515625" bestFit="1" customWidth="1"/>
    <col min="9491" max="9496" width="18.7109375" bestFit="1" customWidth="1"/>
    <col min="9499" max="9499" width="15.28515625" customWidth="1"/>
    <col min="9500" max="9500" width="14.7109375" bestFit="1" customWidth="1"/>
    <col min="9501" max="9503" width="13.7109375" bestFit="1" customWidth="1"/>
    <col min="9730" max="9730" width="33" customWidth="1"/>
    <col min="9734" max="9734" width="9.5703125" bestFit="1" customWidth="1"/>
    <col min="9738" max="9738" width="19.42578125" bestFit="1" customWidth="1"/>
    <col min="9740" max="9740" width="15.7109375" bestFit="1" customWidth="1"/>
    <col min="9742" max="9742" width="19.42578125" bestFit="1" customWidth="1"/>
    <col min="9743" max="9743" width="18.7109375" bestFit="1" customWidth="1"/>
    <col min="9744" max="9746" width="18.28515625" bestFit="1" customWidth="1"/>
    <col min="9747" max="9752" width="18.7109375" bestFit="1" customWidth="1"/>
    <col min="9755" max="9755" width="15.28515625" customWidth="1"/>
    <col min="9756" max="9756" width="14.7109375" bestFit="1" customWidth="1"/>
    <col min="9757" max="9759" width="13.7109375" bestFit="1" customWidth="1"/>
    <col min="9986" max="9986" width="33" customWidth="1"/>
    <col min="9990" max="9990" width="9.5703125" bestFit="1" customWidth="1"/>
    <col min="9994" max="9994" width="19.42578125" bestFit="1" customWidth="1"/>
    <col min="9996" max="9996" width="15.7109375" bestFit="1" customWidth="1"/>
    <col min="9998" max="9998" width="19.42578125" bestFit="1" customWidth="1"/>
    <col min="9999" max="9999" width="18.7109375" bestFit="1" customWidth="1"/>
    <col min="10000" max="10002" width="18.28515625" bestFit="1" customWidth="1"/>
    <col min="10003" max="10008" width="18.7109375" bestFit="1" customWidth="1"/>
    <col min="10011" max="10011" width="15.28515625" customWidth="1"/>
    <col min="10012" max="10012" width="14.7109375" bestFit="1" customWidth="1"/>
    <col min="10013" max="10015" width="13.7109375" bestFit="1" customWidth="1"/>
    <col min="10242" max="10242" width="33" customWidth="1"/>
    <col min="10246" max="10246" width="9.5703125" bestFit="1" customWidth="1"/>
    <col min="10250" max="10250" width="19.42578125" bestFit="1" customWidth="1"/>
    <col min="10252" max="10252" width="15.7109375" bestFit="1" customWidth="1"/>
    <col min="10254" max="10254" width="19.42578125" bestFit="1" customWidth="1"/>
    <col min="10255" max="10255" width="18.7109375" bestFit="1" customWidth="1"/>
    <col min="10256" max="10258" width="18.28515625" bestFit="1" customWidth="1"/>
    <col min="10259" max="10264" width="18.7109375" bestFit="1" customWidth="1"/>
    <col min="10267" max="10267" width="15.28515625" customWidth="1"/>
    <col min="10268" max="10268" width="14.7109375" bestFit="1" customWidth="1"/>
    <col min="10269" max="10271" width="13.7109375" bestFit="1" customWidth="1"/>
    <col min="10498" max="10498" width="33" customWidth="1"/>
    <col min="10502" max="10502" width="9.5703125" bestFit="1" customWidth="1"/>
    <col min="10506" max="10506" width="19.42578125" bestFit="1" customWidth="1"/>
    <col min="10508" max="10508" width="15.7109375" bestFit="1" customWidth="1"/>
    <col min="10510" max="10510" width="19.42578125" bestFit="1" customWidth="1"/>
    <col min="10511" max="10511" width="18.7109375" bestFit="1" customWidth="1"/>
    <col min="10512" max="10514" width="18.28515625" bestFit="1" customWidth="1"/>
    <col min="10515" max="10520" width="18.7109375" bestFit="1" customWidth="1"/>
    <col min="10523" max="10523" width="15.28515625" customWidth="1"/>
    <col min="10524" max="10524" width="14.7109375" bestFit="1" customWidth="1"/>
    <col min="10525" max="10527" width="13.7109375" bestFit="1" customWidth="1"/>
    <col min="10754" max="10754" width="33" customWidth="1"/>
    <col min="10758" max="10758" width="9.5703125" bestFit="1" customWidth="1"/>
    <col min="10762" max="10762" width="19.42578125" bestFit="1" customWidth="1"/>
    <col min="10764" max="10764" width="15.7109375" bestFit="1" customWidth="1"/>
    <col min="10766" max="10766" width="19.42578125" bestFit="1" customWidth="1"/>
    <col min="10767" max="10767" width="18.7109375" bestFit="1" customWidth="1"/>
    <col min="10768" max="10770" width="18.28515625" bestFit="1" customWidth="1"/>
    <col min="10771" max="10776" width="18.7109375" bestFit="1" customWidth="1"/>
    <col min="10779" max="10779" width="15.28515625" customWidth="1"/>
    <col min="10780" max="10780" width="14.7109375" bestFit="1" customWidth="1"/>
    <col min="10781" max="10783" width="13.7109375" bestFit="1" customWidth="1"/>
    <col min="11010" max="11010" width="33" customWidth="1"/>
    <col min="11014" max="11014" width="9.5703125" bestFit="1" customWidth="1"/>
    <col min="11018" max="11018" width="19.42578125" bestFit="1" customWidth="1"/>
    <col min="11020" max="11020" width="15.7109375" bestFit="1" customWidth="1"/>
    <col min="11022" max="11022" width="19.42578125" bestFit="1" customWidth="1"/>
    <col min="11023" max="11023" width="18.7109375" bestFit="1" customWidth="1"/>
    <col min="11024" max="11026" width="18.28515625" bestFit="1" customWidth="1"/>
    <col min="11027" max="11032" width="18.7109375" bestFit="1" customWidth="1"/>
    <col min="11035" max="11035" width="15.28515625" customWidth="1"/>
    <col min="11036" max="11036" width="14.7109375" bestFit="1" customWidth="1"/>
    <col min="11037" max="11039" width="13.7109375" bestFit="1" customWidth="1"/>
    <col min="11266" max="11266" width="33" customWidth="1"/>
    <col min="11270" max="11270" width="9.5703125" bestFit="1" customWidth="1"/>
    <col min="11274" max="11274" width="19.42578125" bestFit="1" customWidth="1"/>
    <col min="11276" max="11276" width="15.7109375" bestFit="1" customWidth="1"/>
    <col min="11278" max="11278" width="19.42578125" bestFit="1" customWidth="1"/>
    <col min="11279" max="11279" width="18.7109375" bestFit="1" customWidth="1"/>
    <col min="11280" max="11282" width="18.28515625" bestFit="1" customWidth="1"/>
    <col min="11283" max="11288" width="18.7109375" bestFit="1" customWidth="1"/>
    <col min="11291" max="11291" width="15.28515625" customWidth="1"/>
    <col min="11292" max="11292" width="14.7109375" bestFit="1" customWidth="1"/>
    <col min="11293" max="11295" width="13.7109375" bestFit="1" customWidth="1"/>
    <col min="11522" max="11522" width="33" customWidth="1"/>
    <col min="11526" max="11526" width="9.5703125" bestFit="1" customWidth="1"/>
    <col min="11530" max="11530" width="19.42578125" bestFit="1" customWidth="1"/>
    <col min="11532" max="11532" width="15.7109375" bestFit="1" customWidth="1"/>
    <col min="11534" max="11534" width="19.42578125" bestFit="1" customWidth="1"/>
    <col min="11535" max="11535" width="18.7109375" bestFit="1" customWidth="1"/>
    <col min="11536" max="11538" width="18.28515625" bestFit="1" customWidth="1"/>
    <col min="11539" max="11544" width="18.7109375" bestFit="1" customWidth="1"/>
    <col min="11547" max="11547" width="15.28515625" customWidth="1"/>
    <col min="11548" max="11548" width="14.7109375" bestFit="1" customWidth="1"/>
    <col min="11549" max="11551" width="13.7109375" bestFit="1" customWidth="1"/>
    <col min="11778" max="11778" width="33" customWidth="1"/>
    <col min="11782" max="11782" width="9.5703125" bestFit="1" customWidth="1"/>
    <col min="11786" max="11786" width="19.42578125" bestFit="1" customWidth="1"/>
    <col min="11788" max="11788" width="15.7109375" bestFit="1" customWidth="1"/>
    <col min="11790" max="11790" width="19.42578125" bestFit="1" customWidth="1"/>
    <col min="11791" max="11791" width="18.7109375" bestFit="1" customWidth="1"/>
    <col min="11792" max="11794" width="18.28515625" bestFit="1" customWidth="1"/>
    <col min="11795" max="11800" width="18.7109375" bestFit="1" customWidth="1"/>
    <col min="11803" max="11803" width="15.28515625" customWidth="1"/>
    <col min="11804" max="11804" width="14.7109375" bestFit="1" customWidth="1"/>
    <col min="11805" max="11807" width="13.7109375" bestFit="1" customWidth="1"/>
    <col min="12034" max="12034" width="33" customWidth="1"/>
    <col min="12038" max="12038" width="9.5703125" bestFit="1" customWidth="1"/>
    <col min="12042" max="12042" width="19.42578125" bestFit="1" customWidth="1"/>
    <col min="12044" max="12044" width="15.7109375" bestFit="1" customWidth="1"/>
    <col min="12046" max="12046" width="19.42578125" bestFit="1" customWidth="1"/>
    <col min="12047" max="12047" width="18.7109375" bestFit="1" customWidth="1"/>
    <col min="12048" max="12050" width="18.28515625" bestFit="1" customWidth="1"/>
    <col min="12051" max="12056" width="18.7109375" bestFit="1" customWidth="1"/>
    <col min="12059" max="12059" width="15.28515625" customWidth="1"/>
    <col min="12060" max="12060" width="14.7109375" bestFit="1" customWidth="1"/>
    <col min="12061" max="12063" width="13.7109375" bestFit="1" customWidth="1"/>
    <col min="12290" max="12290" width="33" customWidth="1"/>
    <col min="12294" max="12294" width="9.5703125" bestFit="1" customWidth="1"/>
    <col min="12298" max="12298" width="19.42578125" bestFit="1" customWidth="1"/>
    <col min="12300" max="12300" width="15.7109375" bestFit="1" customWidth="1"/>
    <col min="12302" max="12302" width="19.42578125" bestFit="1" customWidth="1"/>
    <col min="12303" max="12303" width="18.7109375" bestFit="1" customWidth="1"/>
    <col min="12304" max="12306" width="18.28515625" bestFit="1" customWidth="1"/>
    <col min="12307" max="12312" width="18.7109375" bestFit="1" customWidth="1"/>
    <col min="12315" max="12315" width="15.28515625" customWidth="1"/>
    <col min="12316" max="12316" width="14.7109375" bestFit="1" customWidth="1"/>
    <col min="12317" max="12319" width="13.7109375" bestFit="1" customWidth="1"/>
    <col min="12546" max="12546" width="33" customWidth="1"/>
    <col min="12550" max="12550" width="9.5703125" bestFit="1" customWidth="1"/>
    <col min="12554" max="12554" width="19.42578125" bestFit="1" customWidth="1"/>
    <col min="12556" max="12556" width="15.7109375" bestFit="1" customWidth="1"/>
    <col min="12558" max="12558" width="19.42578125" bestFit="1" customWidth="1"/>
    <col min="12559" max="12559" width="18.7109375" bestFit="1" customWidth="1"/>
    <col min="12560" max="12562" width="18.28515625" bestFit="1" customWidth="1"/>
    <col min="12563" max="12568" width="18.7109375" bestFit="1" customWidth="1"/>
    <col min="12571" max="12571" width="15.28515625" customWidth="1"/>
    <col min="12572" max="12572" width="14.7109375" bestFit="1" customWidth="1"/>
    <col min="12573" max="12575" width="13.7109375" bestFit="1" customWidth="1"/>
    <col min="12802" max="12802" width="33" customWidth="1"/>
    <col min="12806" max="12806" width="9.5703125" bestFit="1" customWidth="1"/>
    <col min="12810" max="12810" width="19.42578125" bestFit="1" customWidth="1"/>
    <col min="12812" max="12812" width="15.7109375" bestFit="1" customWidth="1"/>
    <col min="12814" max="12814" width="19.42578125" bestFit="1" customWidth="1"/>
    <col min="12815" max="12815" width="18.7109375" bestFit="1" customWidth="1"/>
    <col min="12816" max="12818" width="18.28515625" bestFit="1" customWidth="1"/>
    <col min="12819" max="12824" width="18.7109375" bestFit="1" customWidth="1"/>
    <col min="12827" max="12827" width="15.28515625" customWidth="1"/>
    <col min="12828" max="12828" width="14.7109375" bestFit="1" customWidth="1"/>
    <col min="12829" max="12831" width="13.7109375" bestFit="1" customWidth="1"/>
    <col min="13058" max="13058" width="33" customWidth="1"/>
    <col min="13062" max="13062" width="9.5703125" bestFit="1" customWidth="1"/>
    <col min="13066" max="13066" width="19.42578125" bestFit="1" customWidth="1"/>
    <col min="13068" max="13068" width="15.7109375" bestFit="1" customWidth="1"/>
    <col min="13070" max="13070" width="19.42578125" bestFit="1" customWidth="1"/>
    <col min="13071" max="13071" width="18.7109375" bestFit="1" customWidth="1"/>
    <col min="13072" max="13074" width="18.28515625" bestFit="1" customWidth="1"/>
    <col min="13075" max="13080" width="18.7109375" bestFit="1" customWidth="1"/>
    <col min="13083" max="13083" width="15.28515625" customWidth="1"/>
    <col min="13084" max="13084" width="14.7109375" bestFit="1" customWidth="1"/>
    <col min="13085" max="13087" width="13.7109375" bestFit="1" customWidth="1"/>
    <col min="13314" max="13314" width="33" customWidth="1"/>
    <col min="13318" max="13318" width="9.5703125" bestFit="1" customWidth="1"/>
    <col min="13322" max="13322" width="19.42578125" bestFit="1" customWidth="1"/>
    <col min="13324" max="13324" width="15.7109375" bestFit="1" customWidth="1"/>
    <col min="13326" max="13326" width="19.42578125" bestFit="1" customWidth="1"/>
    <col min="13327" max="13327" width="18.7109375" bestFit="1" customWidth="1"/>
    <col min="13328" max="13330" width="18.28515625" bestFit="1" customWidth="1"/>
    <col min="13331" max="13336" width="18.7109375" bestFit="1" customWidth="1"/>
    <col min="13339" max="13339" width="15.28515625" customWidth="1"/>
    <col min="13340" max="13340" width="14.7109375" bestFit="1" customWidth="1"/>
    <col min="13341" max="13343" width="13.7109375" bestFit="1" customWidth="1"/>
    <col min="13570" max="13570" width="33" customWidth="1"/>
    <col min="13574" max="13574" width="9.5703125" bestFit="1" customWidth="1"/>
    <col min="13578" max="13578" width="19.42578125" bestFit="1" customWidth="1"/>
    <col min="13580" max="13580" width="15.7109375" bestFit="1" customWidth="1"/>
    <col min="13582" max="13582" width="19.42578125" bestFit="1" customWidth="1"/>
    <col min="13583" max="13583" width="18.7109375" bestFit="1" customWidth="1"/>
    <col min="13584" max="13586" width="18.28515625" bestFit="1" customWidth="1"/>
    <col min="13587" max="13592" width="18.7109375" bestFit="1" customWidth="1"/>
    <col min="13595" max="13595" width="15.28515625" customWidth="1"/>
    <col min="13596" max="13596" width="14.7109375" bestFit="1" customWidth="1"/>
    <col min="13597" max="13599" width="13.7109375" bestFit="1" customWidth="1"/>
    <col min="13826" max="13826" width="33" customWidth="1"/>
    <col min="13830" max="13830" width="9.5703125" bestFit="1" customWidth="1"/>
    <col min="13834" max="13834" width="19.42578125" bestFit="1" customWidth="1"/>
    <col min="13836" max="13836" width="15.7109375" bestFit="1" customWidth="1"/>
    <col min="13838" max="13838" width="19.42578125" bestFit="1" customWidth="1"/>
    <col min="13839" max="13839" width="18.7109375" bestFit="1" customWidth="1"/>
    <col min="13840" max="13842" width="18.28515625" bestFit="1" customWidth="1"/>
    <col min="13843" max="13848" width="18.7109375" bestFit="1" customWidth="1"/>
    <col min="13851" max="13851" width="15.28515625" customWidth="1"/>
    <col min="13852" max="13852" width="14.7109375" bestFit="1" customWidth="1"/>
    <col min="13853" max="13855" width="13.7109375" bestFit="1" customWidth="1"/>
    <col min="14082" max="14082" width="33" customWidth="1"/>
    <col min="14086" max="14086" width="9.5703125" bestFit="1" customWidth="1"/>
    <col min="14090" max="14090" width="19.42578125" bestFit="1" customWidth="1"/>
    <col min="14092" max="14092" width="15.7109375" bestFit="1" customWidth="1"/>
    <col min="14094" max="14094" width="19.42578125" bestFit="1" customWidth="1"/>
    <col min="14095" max="14095" width="18.7109375" bestFit="1" customWidth="1"/>
    <col min="14096" max="14098" width="18.28515625" bestFit="1" customWidth="1"/>
    <col min="14099" max="14104" width="18.7109375" bestFit="1" customWidth="1"/>
    <col min="14107" max="14107" width="15.28515625" customWidth="1"/>
    <col min="14108" max="14108" width="14.7109375" bestFit="1" customWidth="1"/>
    <col min="14109" max="14111" width="13.7109375" bestFit="1" customWidth="1"/>
    <col min="14338" max="14338" width="33" customWidth="1"/>
    <col min="14342" max="14342" width="9.5703125" bestFit="1" customWidth="1"/>
    <col min="14346" max="14346" width="19.42578125" bestFit="1" customWidth="1"/>
    <col min="14348" max="14348" width="15.7109375" bestFit="1" customWidth="1"/>
    <col min="14350" max="14350" width="19.42578125" bestFit="1" customWidth="1"/>
    <col min="14351" max="14351" width="18.7109375" bestFit="1" customWidth="1"/>
    <col min="14352" max="14354" width="18.28515625" bestFit="1" customWidth="1"/>
    <col min="14355" max="14360" width="18.7109375" bestFit="1" customWidth="1"/>
    <col min="14363" max="14363" width="15.28515625" customWidth="1"/>
    <col min="14364" max="14364" width="14.7109375" bestFit="1" customWidth="1"/>
    <col min="14365" max="14367" width="13.7109375" bestFit="1" customWidth="1"/>
    <col min="14594" max="14594" width="33" customWidth="1"/>
    <col min="14598" max="14598" width="9.5703125" bestFit="1" customWidth="1"/>
    <col min="14602" max="14602" width="19.42578125" bestFit="1" customWidth="1"/>
    <col min="14604" max="14604" width="15.7109375" bestFit="1" customWidth="1"/>
    <col min="14606" max="14606" width="19.42578125" bestFit="1" customWidth="1"/>
    <col min="14607" max="14607" width="18.7109375" bestFit="1" customWidth="1"/>
    <col min="14608" max="14610" width="18.28515625" bestFit="1" customWidth="1"/>
    <col min="14611" max="14616" width="18.7109375" bestFit="1" customWidth="1"/>
    <col min="14619" max="14619" width="15.28515625" customWidth="1"/>
    <col min="14620" max="14620" width="14.7109375" bestFit="1" customWidth="1"/>
    <col min="14621" max="14623" width="13.7109375" bestFit="1" customWidth="1"/>
    <col min="14850" max="14850" width="33" customWidth="1"/>
    <col min="14854" max="14854" width="9.5703125" bestFit="1" customWidth="1"/>
    <col min="14858" max="14858" width="19.42578125" bestFit="1" customWidth="1"/>
    <col min="14860" max="14860" width="15.7109375" bestFit="1" customWidth="1"/>
    <col min="14862" max="14862" width="19.42578125" bestFit="1" customWidth="1"/>
    <col min="14863" max="14863" width="18.7109375" bestFit="1" customWidth="1"/>
    <col min="14864" max="14866" width="18.28515625" bestFit="1" customWidth="1"/>
    <col min="14867" max="14872" width="18.7109375" bestFit="1" customWidth="1"/>
    <col min="14875" max="14875" width="15.28515625" customWidth="1"/>
    <col min="14876" max="14876" width="14.7109375" bestFit="1" customWidth="1"/>
    <col min="14877" max="14879" width="13.7109375" bestFit="1" customWidth="1"/>
    <col min="15106" max="15106" width="33" customWidth="1"/>
    <col min="15110" max="15110" width="9.5703125" bestFit="1" customWidth="1"/>
    <col min="15114" max="15114" width="19.42578125" bestFit="1" customWidth="1"/>
    <col min="15116" max="15116" width="15.7109375" bestFit="1" customWidth="1"/>
    <col min="15118" max="15118" width="19.42578125" bestFit="1" customWidth="1"/>
    <col min="15119" max="15119" width="18.7109375" bestFit="1" customWidth="1"/>
    <col min="15120" max="15122" width="18.28515625" bestFit="1" customWidth="1"/>
    <col min="15123" max="15128" width="18.7109375" bestFit="1" customWidth="1"/>
    <col min="15131" max="15131" width="15.28515625" customWidth="1"/>
    <col min="15132" max="15132" width="14.7109375" bestFit="1" customWidth="1"/>
    <col min="15133" max="15135" width="13.7109375" bestFit="1" customWidth="1"/>
    <col min="15362" max="15362" width="33" customWidth="1"/>
    <col min="15366" max="15366" width="9.5703125" bestFit="1" customWidth="1"/>
    <col min="15370" max="15370" width="19.42578125" bestFit="1" customWidth="1"/>
    <col min="15372" max="15372" width="15.7109375" bestFit="1" customWidth="1"/>
    <col min="15374" max="15374" width="19.42578125" bestFit="1" customWidth="1"/>
    <col min="15375" max="15375" width="18.7109375" bestFit="1" customWidth="1"/>
    <col min="15376" max="15378" width="18.28515625" bestFit="1" customWidth="1"/>
    <col min="15379" max="15384" width="18.7109375" bestFit="1" customWidth="1"/>
    <col min="15387" max="15387" width="15.28515625" customWidth="1"/>
    <col min="15388" max="15388" width="14.7109375" bestFit="1" customWidth="1"/>
    <col min="15389" max="15391" width="13.7109375" bestFit="1" customWidth="1"/>
    <col min="15618" max="15618" width="33" customWidth="1"/>
    <col min="15622" max="15622" width="9.5703125" bestFit="1" customWidth="1"/>
    <col min="15626" max="15626" width="19.42578125" bestFit="1" customWidth="1"/>
    <col min="15628" max="15628" width="15.7109375" bestFit="1" customWidth="1"/>
    <col min="15630" max="15630" width="19.42578125" bestFit="1" customWidth="1"/>
    <col min="15631" max="15631" width="18.7109375" bestFit="1" customWidth="1"/>
    <col min="15632" max="15634" width="18.28515625" bestFit="1" customWidth="1"/>
    <col min="15635" max="15640" width="18.7109375" bestFit="1" customWidth="1"/>
    <col min="15643" max="15643" width="15.28515625" customWidth="1"/>
    <col min="15644" max="15644" width="14.7109375" bestFit="1" customWidth="1"/>
    <col min="15645" max="15647" width="13.7109375" bestFit="1" customWidth="1"/>
    <col min="15874" max="15874" width="33" customWidth="1"/>
    <col min="15878" max="15878" width="9.5703125" bestFit="1" customWidth="1"/>
    <col min="15882" max="15882" width="19.42578125" bestFit="1" customWidth="1"/>
    <col min="15884" max="15884" width="15.7109375" bestFit="1" customWidth="1"/>
    <col min="15886" max="15886" width="19.42578125" bestFit="1" customWidth="1"/>
    <col min="15887" max="15887" width="18.7109375" bestFit="1" customWidth="1"/>
    <col min="15888" max="15890" width="18.28515625" bestFit="1" customWidth="1"/>
    <col min="15891" max="15896" width="18.7109375" bestFit="1" customWidth="1"/>
    <col min="15899" max="15899" width="15.28515625" customWidth="1"/>
    <col min="15900" max="15900" width="14.7109375" bestFit="1" customWidth="1"/>
    <col min="15901" max="15903" width="13.7109375" bestFit="1" customWidth="1"/>
    <col min="16130" max="16130" width="33" customWidth="1"/>
    <col min="16134" max="16134" width="9.5703125" bestFit="1" customWidth="1"/>
    <col min="16138" max="16138" width="19.42578125" bestFit="1" customWidth="1"/>
    <col min="16140" max="16140" width="15.7109375" bestFit="1" customWidth="1"/>
    <col min="16142" max="16142" width="19.42578125" bestFit="1" customWidth="1"/>
    <col min="16143" max="16143" width="18.7109375" bestFit="1" customWidth="1"/>
    <col min="16144" max="16146" width="18.28515625" bestFit="1" customWidth="1"/>
    <col min="16147" max="16152" width="18.7109375" bestFit="1" customWidth="1"/>
    <col min="16155" max="16155" width="15.28515625" customWidth="1"/>
    <col min="16156" max="16156" width="14.7109375" bestFit="1" customWidth="1"/>
    <col min="16157" max="16159" width="13.7109375" bestFit="1" customWidth="1"/>
  </cols>
  <sheetData>
    <row r="1" spans="1:18" x14ac:dyDescent="0.25">
      <c r="A1" s="28" t="s">
        <v>96</v>
      </c>
      <c r="B1" s="29"/>
      <c r="C1" s="29"/>
      <c r="D1" s="29"/>
      <c r="E1" s="29"/>
      <c r="F1" s="29"/>
      <c r="G1" s="30"/>
    </row>
    <row r="2" spans="1:18" x14ac:dyDescent="0.25">
      <c r="A2" s="31" t="s">
        <v>97</v>
      </c>
      <c r="B2" s="27"/>
      <c r="C2" s="27"/>
      <c r="D2" s="27"/>
      <c r="E2" s="27"/>
      <c r="F2" s="27"/>
      <c r="G2" s="32"/>
    </row>
    <row r="3" spans="1:18" x14ac:dyDescent="0.25">
      <c r="A3" s="31" t="s">
        <v>98</v>
      </c>
      <c r="B3" s="27"/>
      <c r="C3" s="27"/>
      <c r="D3" s="27"/>
      <c r="E3" s="27"/>
      <c r="F3" s="27"/>
      <c r="G3" s="32"/>
    </row>
    <row r="4" spans="1:18" x14ac:dyDescent="0.25">
      <c r="A4" s="31" t="s">
        <v>99</v>
      </c>
      <c r="B4" s="27"/>
      <c r="C4" s="27"/>
      <c r="D4" s="27"/>
      <c r="E4" s="27"/>
      <c r="F4" s="27"/>
      <c r="G4" s="32"/>
    </row>
    <row r="5" spans="1:18" x14ac:dyDescent="0.25">
      <c r="A5" s="35" t="s">
        <v>105</v>
      </c>
      <c r="B5" s="33"/>
      <c r="C5" s="33"/>
      <c r="D5" s="33"/>
      <c r="E5" s="33"/>
      <c r="F5" s="33"/>
      <c r="G5" s="34"/>
    </row>
    <row r="6" spans="1:18" x14ac:dyDescent="0.25">
      <c r="A6" t="s">
        <v>71</v>
      </c>
      <c r="B6" t="s">
        <v>95</v>
      </c>
    </row>
    <row r="8" spans="1:18" x14ac:dyDescent="0.25">
      <c r="A8" t="s">
        <v>58</v>
      </c>
      <c r="B8" s="36" t="s">
        <v>59</v>
      </c>
      <c r="C8" s="36"/>
      <c r="D8" s="36"/>
      <c r="E8" s="36"/>
      <c r="F8" s="36" t="s">
        <v>60</v>
      </c>
      <c r="G8" s="36"/>
      <c r="H8" s="36" t="s">
        <v>61</v>
      </c>
      <c r="I8" s="36"/>
      <c r="J8" s="36"/>
      <c r="K8" s="36"/>
      <c r="M8" t="s">
        <v>62</v>
      </c>
      <c r="N8" s="7" t="s">
        <v>63</v>
      </c>
      <c r="O8" s="7" t="s">
        <v>64</v>
      </c>
      <c r="P8" s="7" t="s">
        <v>65</v>
      </c>
      <c r="Q8" s="7" t="s">
        <v>66</v>
      </c>
      <c r="R8" s="7" t="s">
        <v>67</v>
      </c>
    </row>
    <row r="9" spans="1:18" x14ac:dyDescent="0.25">
      <c r="A9" t="s">
        <v>47</v>
      </c>
      <c r="B9" s="14" t="s">
        <v>48</v>
      </c>
      <c r="C9" s="14" t="s">
        <v>49</v>
      </c>
      <c r="D9" s="14" t="s">
        <v>50</v>
      </c>
      <c r="E9" s="14" t="s">
        <v>51</v>
      </c>
      <c r="F9" s="17" t="s">
        <v>52</v>
      </c>
      <c r="G9" s="17" t="s">
        <v>53</v>
      </c>
      <c r="H9" s="19" t="s">
        <v>54</v>
      </c>
      <c r="I9" s="19" t="s">
        <v>55</v>
      </c>
      <c r="J9" s="19" t="s">
        <v>56</v>
      </c>
      <c r="K9" s="19" t="s">
        <v>57</v>
      </c>
      <c r="M9" s="21">
        <v>-34</v>
      </c>
      <c r="N9" s="22">
        <v>125.69724514629168</v>
      </c>
      <c r="O9" s="22">
        <v>48.923144129188628</v>
      </c>
      <c r="P9" s="22">
        <v>9.8480858480337741</v>
      </c>
      <c r="Q9" s="22">
        <v>6.2202766435651782</v>
      </c>
      <c r="R9" s="22">
        <v>6.416107024844105E-3</v>
      </c>
    </row>
    <row r="10" spans="1:18" x14ac:dyDescent="0.25">
      <c r="A10">
        <v>125.69724512323981</v>
      </c>
      <c r="B10" s="14">
        <v>125.3213538691617</v>
      </c>
      <c r="C10" s="14">
        <v>124.92392755629309</v>
      </c>
      <c r="D10" s="15">
        <v>126.0514349907799</v>
      </c>
      <c r="E10" s="14">
        <v>126.38402009109151</v>
      </c>
      <c r="F10" s="17">
        <v>128.29446845935195</v>
      </c>
      <c r="G10" s="17">
        <v>128.29446845935195</v>
      </c>
      <c r="H10" s="19">
        <v>110.59472594986663</v>
      </c>
      <c r="I10" s="19">
        <v>97.689488585426943</v>
      </c>
      <c r="J10" s="19">
        <v>143.47654503565082</v>
      </c>
      <c r="K10" s="19">
        <v>164.53934170749019</v>
      </c>
      <c r="M10" s="21">
        <v>-29</v>
      </c>
      <c r="N10" s="21">
        <v>110.59472594986663</v>
      </c>
      <c r="O10" s="21">
        <v>45.186544229448927</v>
      </c>
      <c r="P10" s="21">
        <v>9.605720705647423</v>
      </c>
      <c r="Q10" s="21">
        <v>6.0776037382818755</v>
      </c>
      <c r="R10" s="21">
        <v>8.1515574228661989E-3</v>
      </c>
    </row>
    <row r="11" spans="1:18" x14ac:dyDescent="0.25">
      <c r="A11">
        <v>48.923144133030476</v>
      </c>
      <c r="B11" s="14">
        <v>48.758443702797777</v>
      </c>
      <c r="C11" s="14">
        <v>48.584398482513656</v>
      </c>
      <c r="D11" s="15">
        <v>49.078413310357519</v>
      </c>
      <c r="E11" s="14">
        <v>49.224285230331297</v>
      </c>
      <c r="F11" s="17">
        <v>49.840849643511199</v>
      </c>
      <c r="G11" s="17">
        <v>49.840849643511199</v>
      </c>
      <c r="H11" s="19">
        <v>45.186544229448927</v>
      </c>
      <c r="I11" s="19">
        <v>41.779823812804047</v>
      </c>
      <c r="J11" s="19">
        <v>53.033897346204583</v>
      </c>
      <c r="K11" s="19">
        <v>57.570561759436835</v>
      </c>
      <c r="M11" s="21">
        <v>-24</v>
      </c>
      <c r="N11" s="21">
        <v>97.689488585426943</v>
      </c>
      <c r="O11" s="21">
        <v>41.779823812804047</v>
      </c>
      <c r="P11" s="21">
        <v>9.362047995155578</v>
      </c>
      <c r="Q11" s="21">
        <v>5.933885219273888</v>
      </c>
      <c r="R11" s="21">
        <v>1.0237635918530047E-2</v>
      </c>
    </row>
    <row r="12" spans="1:18" x14ac:dyDescent="0.25">
      <c r="A12">
        <v>9.8480858517987073</v>
      </c>
      <c r="B12" s="14">
        <v>9.824769597598225</v>
      </c>
      <c r="C12" s="14">
        <v>9.800107231633028</v>
      </c>
      <c r="D12" s="15">
        <v>9.8700471378156429</v>
      </c>
      <c r="E12" s="14">
        <v>9.8906560152446765</v>
      </c>
      <c r="F12" s="17">
        <v>10.042096208217115</v>
      </c>
      <c r="G12" s="17">
        <v>10.042096208217115</v>
      </c>
      <c r="H12" s="19">
        <v>9.605720705647423</v>
      </c>
      <c r="I12" s="19">
        <v>9.362047995155578</v>
      </c>
      <c r="J12" s="19">
        <v>10.088971690712297</v>
      </c>
      <c r="K12" s="19">
        <v>10.328175156688854</v>
      </c>
      <c r="M12" s="21">
        <v>-39</v>
      </c>
      <c r="N12" s="21">
        <v>143.47654503565082</v>
      </c>
      <c r="O12" s="21">
        <v>53.033897346204583</v>
      </c>
      <c r="P12" s="21">
        <v>10.088971690712297</v>
      </c>
      <c r="Q12" s="21">
        <v>6.3618221579417504</v>
      </c>
      <c r="R12" s="21">
        <v>4.9883508626275856E-3</v>
      </c>
    </row>
    <row r="13" spans="1:18" x14ac:dyDescent="0.25">
      <c r="A13">
        <v>6.2202766459362033</v>
      </c>
      <c r="B13" s="14">
        <v>6.2025068775436969</v>
      </c>
      <c r="C13" s="14">
        <v>6.1837222907342753</v>
      </c>
      <c r="D13" s="15">
        <v>6.2370231741246549</v>
      </c>
      <c r="E13" s="14">
        <v>6.2527477429354503</v>
      </c>
      <c r="F13" s="17">
        <v>6.3322064539333436</v>
      </c>
      <c r="G13" s="17">
        <v>6.3322064539333436</v>
      </c>
      <c r="H13" s="19">
        <v>6.0776037382818755</v>
      </c>
      <c r="I13" s="19">
        <v>5.933885219273888</v>
      </c>
      <c r="J13" s="19">
        <v>6.3618221579417504</v>
      </c>
      <c r="K13" s="19">
        <v>6.502143841249401</v>
      </c>
      <c r="M13" s="21">
        <v>-44</v>
      </c>
      <c r="N13" s="21">
        <v>164.53934170749019</v>
      </c>
      <c r="O13" s="21">
        <v>57.570561759436835</v>
      </c>
      <c r="P13" s="21">
        <v>10.328175156688854</v>
      </c>
      <c r="Q13" s="21">
        <v>6.502143841249401</v>
      </c>
      <c r="R13" s="21">
        <v>3.8276360728012721E-3</v>
      </c>
    </row>
    <row r="14" spans="1:18" x14ac:dyDescent="0.25">
      <c r="A14">
        <v>6.4161070248325439E-3</v>
      </c>
      <c r="B14" s="14">
        <v>6.4165823400756088E-3</v>
      </c>
      <c r="C14" s="14">
        <v>6.4170987034501241E-3</v>
      </c>
      <c r="D14" s="15">
        <v>6.4156701616744066E-3</v>
      </c>
      <c r="E14" s="14">
        <v>6.4152695190434058E-3</v>
      </c>
      <c r="F14" s="17">
        <v>6.5352637070387248E-3</v>
      </c>
      <c r="G14" s="17">
        <v>6.5352637070387248E-3</v>
      </c>
      <c r="H14" s="19">
        <v>8.1515574228661989E-3</v>
      </c>
      <c r="I14" s="19">
        <v>1.0237635918530047E-2</v>
      </c>
      <c r="J14" s="19">
        <v>4.9883508626275856E-3</v>
      </c>
      <c r="K14" s="19">
        <v>3.8276360728012721E-3</v>
      </c>
    </row>
    <row r="15" spans="1:18" x14ac:dyDescent="0.25">
      <c r="A15" s="26" t="s">
        <v>100</v>
      </c>
      <c r="B15" s="16">
        <f>(B10-$A10)/$A10</f>
        <v>-2.9904494224162995E-3</v>
      </c>
      <c r="C15" s="16">
        <f>(C10-$A10)/$A10</f>
        <v>-6.152223671954918E-3</v>
      </c>
      <c r="D15" s="16">
        <f>(D10-$A10)/$A10</f>
        <v>2.8178013543003312E-3</v>
      </c>
      <c r="E15" s="16">
        <f>(E10-$A10)/$A10</f>
        <v>5.4637233073672863E-3</v>
      </c>
      <c r="F15" s="18">
        <f>(F10-$A10)/$A10</f>
        <v>2.0662531892132484E-2</v>
      </c>
      <c r="G15" s="18">
        <f>(G10-$A10)/$A10</f>
        <v>2.0662531892132484E-2</v>
      </c>
      <c r="H15" s="20">
        <f>(H10-$A10)/$A10</f>
        <v>-0.12014996158878362</v>
      </c>
      <c r="I15" s="20">
        <f>(I10-$A10)/$A10</f>
        <v>-0.22281917563390252</v>
      </c>
      <c r="J15" s="20">
        <f>(J10-$A10)/$A10</f>
        <v>0.14144542225232778</v>
      </c>
      <c r="K15" s="20">
        <f>(K10-$A10)/$A10</f>
        <v>0.30901310960449185</v>
      </c>
    </row>
    <row r="16" spans="1:18" x14ac:dyDescent="0.25">
      <c r="A16" s="26" t="s">
        <v>101</v>
      </c>
      <c r="B16" s="16">
        <f>(B11-$A11)/$A11</f>
        <v>-3.3665136031496706E-3</v>
      </c>
      <c r="C16" s="16">
        <f>(C11-$A11)/$A11</f>
        <v>-6.924036803434226E-3</v>
      </c>
      <c r="D16" s="16">
        <f>(D11-$A11)/$A11</f>
        <v>3.1737366859504938E-3</v>
      </c>
      <c r="E16" s="16">
        <f>(E11-$A11)/$A11</f>
        <v>6.1553913313904442E-3</v>
      </c>
      <c r="F16" s="18">
        <f>(F11-$A11)/$A11</f>
        <v>1.8758105733869487E-2</v>
      </c>
      <c r="G16" s="18">
        <f>(G11-$A11)/$A11</f>
        <v>1.8758105733869487E-2</v>
      </c>
      <c r="H16" s="20">
        <f>(H11-$A11)/$A11</f>
        <v>-7.637693712859274E-2</v>
      </c>
      <c r="I16" s="20">
        <f>(I11-$A11)/$A11</f>
        <v>-0.14601106381884427</v>
      </c>
      <c r="J16" s="20">
        <f>(J11-$A11)/$A11</f>
        <v>8.4024714396855993E-2</v>
      </c>
      <c r="K16" s="20">
        <f>(K11-$A11)/$A11</f>
        <v>0.17675514891055524</v>
      </c>
      <c r="M16" s="9" t="s">
        <v>33</v>
      </c>
      <c r="N16" s="9">
        <f>SLOPE(N9:N13,$M9:$M13)</f>
        <v>-3.3316305065982137</v>
      </c>
      <c r="O16" s="9">
        <f>SLOPE(O9:O13,$M9:$M13)</f>
        <v>-0.78857658020042465</v>
      </c>
      <c r="P16" s="9">
        <f>SLOPE(P9:P13,$M9:$M13)</f>
        <v>-4.8310106162628513E-2</v>
      </c>
      <c r="Q16" s="9">
        <f>SLOPE(Q9:Q13,$M9:$M13)</f>
        <v>-2.841471327221802E-2</v>
      </c>
      <c r="R16" s="13">
        <f>SLOPE(R9:R13,$M9:$M13)</f>
        <v>3.1966412503392326E-4</v>
      </c>
    </row>
    <row r="17" spans="1:18" x14ac:dyDescent="0.25">
      <c r="A17" s="26" t="s">
        <v>102</v>
      </c>
      <c r="B17" s="16">
        <f>(B12-$A12)/$A12</f>
        <v>-2.367592499838304E-3</v>
      </c>
      <c r="C17" s="16">
        <f>(C12-$A12)/$A12</f>
        <v>-4.871872655021205E-3</v>
      </c>
      <c r="D17" s="16">
        <f>(D12-$A12)/$A12</f>
        <v>2.2300055409168128E-3</v>
      </c>
      <c r="E17" s="16">
        <f>(E12-$A12)/$A12</f>
        <v>4.3226840308458478E-3</v>
      </c>
      <c r="F17" s="18">
        <f>(F12-$A12)/$A12</f>
        <v>1.9700311242003749E-2</v>
      </c>
      <c r="G17" s="18">
        <f>(G12-$A12)/$A12</f>
        <v>1.9700311242003749E-2</v>
      </c>
      <c r="H17" s="20">
        <f>(H12-$A12)/$A12</f>
        <v>-2.4610381123659424E-2</v>
      </c>
      <c r="I17" s="20">
        <f>(I12-$A12)/$A12</f>
        <v>-4.9353535697940411E-2</v>
      </c>
      <c r="J17" s="20">
        <f>(J12-$A12)/$A12</f>
        <v>2.4460168456958874E-2</v>
      </c>
      <c r="K17" s="20">
        <f>(K12-$A12)/$A12</f>
        <v>4.8749504433134118E-2</v>
      </c>
      <c r="M17" s="9" t="s">
        <v>34</v>
      </c>
      <c r="N17" s="6">
        <f>INDEX(LINEST(N9:N13,M9:M13,TRUE),2)</f>
        <v>15.124032060605956</v>
      </c>
      <c r="O17" s="6">
        <f>INDEX(LINEST(O9:O13,N9:N13,TRUE),2)</f>
        <v>19.023977427445033</v>
      </c>
      <c r="P17" s="6">
        <f>INDEX(LINEST(P9:P13,O9:O13,TRUE),2)</f>
        <v>6.8366726349940352</v>
      </c>
      <c r="Q17" s="6">
        <f>INDEX(LINEST(Q9:Q13,P9:P13,TRUE),2)</f>
        <v>0.42761670672116026</v>
      </c>
      <c r="R17">
        <f>INDEX(LINEST(R9:R13,Q9:Q13,TRUE),2)</f>
        <v>7.6725372756861324E-2</v>
      </c>
    </row>
    <row r="18" spans="1:18" x14ac:dyDescent="0.25">
      <c r="A18" s="26" t="s">
        <v>103</v>
      </c>
      <c r="B18" s="16">
        <f>(B13-$A13)/$A13</f>
        <v>-2.8567488881890298E-3</v>
      </c>
      <c r="C18" s="16">
        <f>(C13-$A13)/$A13</f>
        <v>-5.8766446064435988E-3</v>
      </c>
      <c r="D18" s="16">
        <f>(D13-$A13)/$A13</f>
        <v>2.6922481332711011E-3</v>
      </c>
      <c r="E18" s="16">
        <f>(E13-$A13)/$A13</f>
        <v>5.2202014231088629E-3</v>
      </c>
      <c r="F18" s="18">
        <f>(F13-$A13)/$A13</f>
        <v>1.7994345648640178E-2</v>
      </c>
      <c r="G18" s="18">
        <f>(G13-$A13)/$A13</f>
        <v>1.7994345648640178E-2</v>
      </c>
      <c r="H18" s="20">
        <f>(H13-$A13)/$A13</f>
        <v>-2.29367463499454E-2</v>
      </c>
      <c r="I18" s="20">
        <f>(I13-$A13)/$A13</f>
        <v>-4.6041589942694749E-2</v>
      </c>
      <c r="J18" s="20">
        <f>(J13-$A13)/$A13</f>
        <v>2.2755501091421847E-2</v>
      </c>
      <c r="K18" s="20">
        <f>(K13-$A13)/$A13</f>
        <v>4.5314253908199667E-2</v>
      </c>
      <c r="M18" s="10" t="s">
        <v>35</v>
      </c>
      <c r="N18">
        <f>INDEX(LINEST(N9:N13,M9:M13,TRUE,TRUE),3)</f>
        <v>0.99075916101998018</v>
      </c>
      <c r="O18">
        <f>INDEX(LINEST(O9:O13,N9:N13,TRUE,TRUE),3)</f>
        <v>0.99841155352536537</v>
      </c>
      <c r="P18">
        <f>INDEX(LINEST(P9:P13,O9:O13,TRUE,TRUE),3)</f>
        <v>0.9963921761336948</v>
      </c>
      <c r="Q18">
        <f>INDEX(LINEST(Q9:Q13,P9:P13,TRUE,TRUE),3)</f>
        <v>0.99999886075449373</v>
      </c>
      <c r="R18">
        <f>INDEX(LINEST(R9:R13,Q9:Q13,TRUE,TRUE),3)</f>
        <v>0.98815343654092225</v>
      </c>
    </row>
    <row r="19" spans="1:18" x14ac:dyDescent="0.25">
      <c r="A19" s="26" t="s">
        <v>104</v>
      </c>
      <c r="B19" s="16">
        <f>(B14-$A14)/$A14</f>
        <v>7.4081563980355457E-5</v>
      </c>
      <c r="C19" s="16">
        <f>(C14-$A14)/$A14</f>
        <v>1.545607973405151E-4</v>
      </c>
      <c r="D19" s="16">
        <f>(D14-$A14)/$A14</f>
        <v>-6.808850856859593E-5</v>
      </c>
      <c r="E19" s="16">
        <f>(E14-$A14)/$A14</f>
        <v>-1.3053176730011312E-4</v>
      </c>
      <c r="F19" s="18">
        <f>(F14-$A14)/$A14</f>
        <v>1.8571492299770485E-2</v>
      </c>
      <c r="G19" s="18">
        <f>(G14-$A14)/$A14</f>
        <v>1.8571492299770485E-2</v>
      </c>
      <c r="H19" s="20">
        <f>(H14-$A14)/$A14</f>
        <v>0.27048339301649182</v>
      </c>
      <c r="I19" s="20">
        <f>(I14-$A14)/$A14</f>
        <v>0.59561489216231434</v>
      </c>
      <c r="J19" s="20">
        <f>(J14-$A14)/$A14</f>
        <v>-0.22252686195524018</v>
      </c>
      <c r="K19" s="20">
        <f>(K14-$A14)/$A14</f>
        <v>-0.40343325664815094</v>
      </c>
    </row>
    <row r="21" spans="1:18" x14ac:dyDescent="0.25">
      <c r="G21" s="21">
        <v>34</v>
      </c>
      <c r="H21" s="21">
        <v>29</v>
      </c>
      <c r="I21" s="21">
        <v>24</v>
      </c>
      <c r="J21" s="21">
        <v>39</v>
      </c>
      <c r="K21" s="21">
        <v>44</v>
      </c>
    </row>
    <row r="22" spans="1:18" x14ac:dyDescent="0.25">
      <c r="G22" s="22">
        <v>125.69724514629168</v>
      </c>
      <c r="H22" s="21">
        <v>110.59472594986663</v>
      </c>
      <c r="I22" s="21">
        <v>97.689488585426943</v>
      </c>
      <c r="J22" s="21">
        <v>143.47654503565082</v>
      </c>
      <c r="K22" s="21">
        <v>164.53934170749019</v>
      </c>
    </row>
    <row r="23" spans="1:18" x14ac:dyDescent="0.25">
      <c r="G23" s="22">
        <v>48.923144129188628</v>
      </c>
      <c r="H23" s="21">
        <v>45.186544229448927</v>
      </c>
      <c r="I23" s="21">
        <v>41.779823812804047</v>
      </c>
      <c r="J23" s="21">
        <v>53.033897346204583</v>
      </c>
      <c r="K23" s="21">
        <v>57.570561759436835</v>
      </c>
    </row>
    <row r="24" spans="1:18" x14ac:dyDescent="0.25">
      <c r="G24" s="22">
        <v>9.8480858480337741</v>
      </c>
      <c r="H24" s="21">
        <v>9.605720705647423</v>
      </c>
      <c r="I24" s="21">
        <v>9.362047995155578</v>
      </c>
      <c r="J24" s="21">
        <v>10.088971690712297</v>
      </c>
      <c r="K24" s="21">
        <v>10.328175156688854</v>
      </c>
    </row>
    <row r="25" spans="1:18" x14ac:dyDescent="0.25">
      <c r="G25" s="22">
        <v>6.2202766435651782</v>
      </c>
      <c r="H25" s="21">
        <v>6.0776037382818755</v>
      </c>
      <c r="I25" s="21">
        <v>5.933885219273888</v>
      </c>
      <c r="J25" s="21">
        <v>6.3618221579417504</v>
      </c>
      <c r="K25" s="21">
        <v>6.502143841249401</v>
      </c>
    </row>
    <row r="26" spans="1:18" x14ac:dyDescent="0.25">
      <c r="G26" s="22">
        <v>6.416107024844105E-3</v>
      </c>
      <c r="H26" s="21">
        <v>8.1515574228661989E-3</v>
      </c>
      <c r="I26" s="21">
        <v>1.0237635918530047E-2</v>
      </c>
      <c r="J26" s="21">
        <v>4.9883508626275856E-3</v>
      </c>
      <c r="K26" s="21">
        <v>3.8276360728012721E-3</v>
      </c>
    </row>
  </sheetData>
  <mergeCells count="3">
    <mergeCell ref="B8:E8"/>
    <mergeCell ref="F8:G8"/>
    <mergeCell ref="H8:K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11" sqref="B11"/>
    </sheetView>
  </sheetViews>
  <sheetFormatPr defaultRowHeight="15" x14ac:dyDescent="0.25"/>
  <cols>
    <col min="1" max="1" width="28.140625" customWidth="1"/>
    <col min="2" max="2" width="32.42578125" customWidth="1"/>
    <col min="3" max="3" width="13.7109375" bestFit="1" customWidth="1"/>
    <col min="4" max="4" width="17.7109375" bestFit="1" customWidth="1"/>
    <col min="8" max="8" width="8.7109375" bestFit="1" customWidth="1"/>
    <col min="9" max="9" width="13.140625" bestFit="1" customWidth="1"/>
    <col min="10" max="10" width="13.7109375" bestFit="1" customWidth="1"/>
    <col min="11" max="11" width="17.7109375" bestFit="1" customWidth="1"/>
  </cols>
  <sheetData>
    <row r="1" spans="1:14" x14ac:dyDescent="0.25">
      <c r="A1" s="28" t="s">
        <v>94</v>
      </c>
      <c r="B1" s="29"/>
      <c r="C1" s="29"/>
      <c r="D1" s="29"/>
      <c r="E1" s="29"/>
      <c r="F1" s="29"/>
      <c r="G1" s="29"/>
      <c r="H1" s="30"/>
    </row>
    <row r="2" spans="1:14" x14ac:dyDescent="0.25">
      <c r="A2" s="31" t="s">
        <v>90</v>
      </c>
      <c r="B2" s="27"/>
      <c r="C2" s="27"/>
      <c r="D2" s="27"/>
      <c r="E2" s="27"/>
      <c r="F2" s="27"/>
      <c r="G2" s="27"/>
      <c r="H2" s="32"/>
    </row>
    <row r="3" spans="1:14" x14ac:dyDescent="0.25">
      <c r="A3" s="35" t="s">
        <v>91</v>
      </c>
      <c r="B3" s="33"/>
      <c r="C3" s="33"/>
      <c r="D3" s="33"/>
      <c r="E3" s="33"/>
      <c r="F3" s="33"/>
      <c r="G3" s="33"/>
      <c r="H3" s="34"/>
    </row>
    <row r="4" spans="1:14" x14ac:dyDescent="0.25">
      <c r="A4" t="s">
        <v>71</v>
      </c>
      <c r="B4" t="s">
        <v>46</v>
      </c>
    </row>
    <row r="5" spans="1:14" x14ac:dyDescent="0.25">
      <c r="A5" s="36" t="s">
        <v>37</v>
      </c>
      <c r="B5" s="36"/>
      <c r="C5" s="12"/>
      <c r="D5" s="36" t="s">
        <v>38</v>
      </c>
      <c r="E5" s="36"/>
      <c r="F5" s="36"/>
      <c r="G5" s="12"/>
      <c r="I5" s="12"/>
      <c r="J5" s="12"/>
      <c r="K5" s="12"/>
      <c r="L5" s="12"/>
      <c r="M5" s="12"/>
      <c r="N5" s="12"/>
    </row>
    <row r="6" spans="1:14" x14ac:dyDescent="0.25">
      <c r="A6" t="s">
        <v>39</v>
      </c>
      <c r="B6" t="s">
        <v>62</v>
      </c>
      <c r="D6" t="s">
        <v>39</v>
      </c>
      <c r="E6" t="s">
        <v>62</v>
      </c>
    </row>
    <row r="8" spans="1:14" x14ac:dyDescent="0.25">
      <c r="A8">
        <v>210.00000000000003</v>
      </c>
      <c r="B8">
        <f>453.929189904023 -27</f>
        <v>426.92918990402302</v>
      </c>
      <c r="D8">
        <v>210.00000000000003</v>
      </c>
      <c r="E8">
        <f>-30.0149727869388 +34</f>
        <v>3.9850272130612012</v>
      </c>
    </row>
    <row r="9" spans="1:14" x14ac:dyDescent="0.25">
      <c r="A9">
        <v>205.00000000000003</v>
      </c>
      <c r="B9">
        <f>449.010234411418-27</f>
        <v>422.01023441141803</v>
      </c>
      <c r="D9">
        <v>205.00000000000003</v>
      </c>
      <c r="E9">
        <f>-31.7729974602315+34</f>
        <v>2.2270025397684989</v>
      </c>
    </row>
    <row r="10" spans="1:14" x14ac:dyDescent="0.25">
      <c r="A10">
        <v>200.00000000000003</v>
      </c>
      <c r="B10">
        <f>444.001164632583-27</f>
        <v>417.00116463258303</v>
      </c>
      <c r="D10">
        <v>200.00000000000003</v>
      </c>
      <c r="E10">
        <f>-33.5621789096188+34</f>
        <v>0.43782109038119899</v>
      </c>
    </row>
    <row r="11" spans="1:14" x14ac:dyDescent="0.25">
      <c r="A11">
        <v>215.00000000000003</v>
      </c>
      <c r="B11">
        <f>458.761697018569-27</f>
        <v>431.76169701856901</v>
      </c>
      <c r="D11">
        <v>215.00000000000003</v>
      </c>
      <c r="E11">
        <f>-28.2868438635337+34</f>
        <v>5.7131561364662993</v>
      </c>
    </row>
    <row r="12" spans="1:14" x14ac:dyDescent="0.25">
      <c r="A12">
        <v>220.00000000000003</v>
      </c>
      <c r="B12">
        <f>463.511146054231-27</f>
        <v>436.51114605423101</v>
      </c>
      <c r="D12">
        <v>220.00000000000003</v>
      </c>
      <c r="E12">
        <f>-26.5874291973234+34</f>
        <v>7.4125708026766013</v>
      </c>
    </row>
    <row r="13" spans="1:14" x14ac:dyDescent="0.25">
      <c r="A13" s="36" t="s">
        <v>93</v>
      </c>
      <c r="B13" s="36"/>
      <c r="D13" s="36" t="s">
        <v>93</v>
      </c>
      <c r="E13" s="36"/>
    </row>
    <row r="14" spans="1:14" x14ac:dyDescent="0.25">
      <c r="A14" t="s">
        <v>33</v>
      </c>
      <c r="B14">
        <f>SLOPE(B8:B12,A8:A12)</f>
        <v>0.97542850900893885</v>
      </c>
      <c r="E14">
        <f>SLOPE(E8:E12,D8:D12)</f>
        <v>0.34871306042577216</v>
      </c>
    </row>
    <row r="15" spans="1:14" x14ac:dyDescent="0.25">
      <c r="A15" t="s">
        <v>34</v>
      </c>
      <c r="B15" s="6">
        <f>INDEX(LINEST(B8:B12,A8:A12,TRUE),2)</f>
        <v>222.00269951228762</v>
      </c>
      <c r="E15" s="6">
        <f>INDEX(LINEST(E8:E12,D8:D12,TRUE),2)</f>
        <v>-69.274627132941433</v>
      </c>
      <c r="F15" s="6">
        <f>E15+273</f>
        <v>203.72537286705858</v>
      </c>
    </row>
    <row r="16" spans="1:14" x14ac:dyDescent="0.25">
      <c r="A16" t="s">
        <v>92</v>
      </c>
      <c r="B16" s="6">
        <f>INDEX(LINEST(B8:B12,A8:A12,TRUE,TRUE),3)</f>
        <v>0.99988982670003768</v>
      </c>
      <c r="E16" s="6">
        <f>INDEX(LINEST(E8:E12,D8:D12,TRUE,TRUE),3)</f>
        <v>0.99989693566106042</v>
      </c>
    </row>
    <row r="17" spans="1:6" x14ac:dyDescent="0.25">
      <c r="E17">
        <f>E14*D8+E15-34</f>
        <v>-30.04488444352927</v>
      </c>
    </row>
    <row r="19" spans="1:6" x14ac:dyDescent="0.25">
      <c r="A19" t="s">
        <v>89</v>
      </c>
    </row>
    <row r="20" spans="1:6" x14ac:dyDescent="0.25">
      <c r="A20" t="s">
        <v>68</v>
      </c>
      <c r="B20">
        <v>0.4</v>
      </c>
    </row>
    <row r="21" spans="1:6" x14ac:dyDescent="0.25">
      <c r="A21" t="s">
        <v>40</v>
      </c>
      <c r="B21">
        <f>453.92-454.91</f>
        <v>-0.99000000000000909</v>
      </c>
    </row>
    <row r="22" spans="1:6" x14ac:dyDescent="0.25">
      <c r="A22" t="s">
        <v>88</v>
      </c>
      <c r="B22" s="3">
        <f>B21/453.92</f>
        <v>-2.1810010574550781E-3</v>
      </c>
    </row>
    <row r="25" spans="1:6" x14ac:dyDescent="0.25">
      <c r="A25" t="s">
        <v>70</v>
      </c>
    </row>
    <row r="26" spans="1:6" x14ac:dyDescent="0.25">
      <c r="B26" t="s">
        <v>37</v>
      </c>
    </row>
    <row r="27" spans="1:6" x14ac:dyDescent="0.25">
      <c r="A27" t="s">
        <v>41</v>
      </c>
      <c r="B27">
        <v>0</v>
      </c>
      <c r="C27">
        <v>453.93</v>
      </c>
      <c r="D27" s="26" t="s">
        <v>78</v>
      </c>
      <c r="E27" t="s">
        <v>76</v>
      </c>
      <c r="F27" t="s">
        <v>77</v>
      </c>
    </row>
    <row r="28" spans="1:6" x14ac:dyDescent="0.25">
      <c r="A28" t="s">
        <v>42</v>
      </c>
      <c r="B28">
        <v>3</v>
      </c>
      <c r="C28" s="11">
        <v>460.93459999999999</v>
      </c>
      <c r="D28">
        <f>((C28-C$27) / (B28))</f>
        <v>2.3348666666666609</v>
      </c>
      <c r="E28">
        <f>ABS(C28-C$27)</f>
        <v>7.0045999999999822</v>
      </c>
      <c r="F28" s="1">
        <f>E28/C27</f>
        <v>1.5431013592404076E-2</v>
      </c>
    </row>
    <row r="29" spans="1:6" x14ac:dyDescent="0.25">
      <c r="A29" t="s">
        <v>43</v>
      </c>
      <c r="B29">
        <v>-3</v>
      </c>
      <c r="C29">
        <v>446.92</v>
      </c>
      <c r="D29">
        <f>((C29-C$27) / (B29))</f>
        <v>2.3366666666666638</v>
      </c>
      <c r="E29">
        <f>ABS(C29-C$27)</f>
        <v>7.0099999999999909</v>
      </c>
      <c r="F29" s="1">
        <f t="shared" ref="F29:F31" si="0">E29/C28</f>
        <v>1.5208231276194044E-2</v>
      </c>
    </row>
    <row r="30" spans="1:6" x14ac:dyDescent="0.25">
      <c r="A30" t="s">
        <v>44</v>
      </c>
      <c r="B30">
        <v>6</v>
      </c>
      <c r="C30">
        <v>467.93</v>
      </c>
      <c r="D30">
        <f>((C30-C$27) / (B30))</f>
        <v>2.3333333333333335</v>
      </c>
      <c r="E30">
        <f>ABS(C30-C$27)</f>
        <v>14</v>
      </c>
      <c r="F30" s="1">
        <f t="shared" si="0"/>
        <v>3.1325516871028372E-2</v>
      </c>
    </row>
    <row r="31" spans="1:6" x14ac:dyDescent="0.25">
      <c r="A31" t="s">
        <v>45</v>
      </c>
      <c r="B31">
        <v>-6</v>
      </c>
      <c r="C31">
        <v>439.9</v>
      </c>
      <c r="D31">
        <f>((C31-C$27) / (B31))</f>
        <v>2.3383333333333383</v>
      </c>
      <c r="E31">
        <f>ABS(C31-C$27)</f>
        <v>14.03000000000003</v>
      </c>
      <c r="F31" s="1">
        <f t="shared" si="0"/>
        <v>2.9983117132904556E-2</v>
      </c>
    </row>
    <row r="32" spans="1:6" x14ac:dyDescent="0.25">
      <c r="B32" t="s">
        <v>69</v>
      </c>
    </row>
  </sheetData>
  <mergeCells count="4">
    <mergeCell ref="A5:B5"/>
    <mergeCell ref="A13:B13"/>
    <mergeCell ref="D5:F5"/>
    <mergeCell ref="D13:E1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pane ySplit="5" topLeftCell="A6" activePane="bottomLeft" state="frozen"/>
      <selection pane="bottomLeft" activeCell="E5" sqref="E5"/>
    </sheetView>
  </sheetViews>
  <sheetFormatPr defaultRowHeight="15" x14ac:dyDescent="0.25"/>
  <cols>
    <col min="3" max="3" width="23.7109375" bestFit="1" customWidth="1"/>
    <col min="4" max="4" width="12.28515625" bestFit="1" customWidth="1"/>
    <col min="5" max="5" width="15.42578125" bestFit="1" customWidth="1"/>
  </cols>
  <sheetData>
    <row r="1" spans="1:8" x14ac:dyDescent="0.25">
      <c r="A1" s="28" t="s">
        <v>85</v>
      </c>
      <c r="B1" s="29"/>
      <c r="C1" s="29"/>
      <c r="D1" s="29"/>
      <c r="E1" s="29"/>
      <c r="F1" s="29"/>
      <c r="G1" s="29"/>
      <c r="H1" s="30"/>
    </row>
    <row r="2" spans="1:8" x14ac:dyDescent="0.25">
      <c r="A2" s="31" t="s">
        <v>86</v>
      </c>
      <c r="B2" s="27"/>
      <c r="C2" s="27"/>
      <c r="D2" s="27"/>
      <c r="E2" s="27"/>
      <c r="F2" s="27"/>
      <c r="G2" s="27"/>
      <c r="H2" s="32"/>
    </row>
    <row r="3" spans="1:8" x14ac:dyDescent="0.25">
      <c r="A3" s="35" t="s">
        <v>87</v>
      </c>
      <c r="B3" s="33"/>
      <c r="C3" s="33"/>
      <c r="D3" s="33"/>
      <c r="E3" s="33"/>
      <c r="F3" s="33"/>
      <c r="G3" s="33"/>
      <c r="H3" s="34"/>
    </row>
    <row r="4" spans="1:8" x14ac:dyDescent="0.25">
      <c r="A4" t="s">
        <v>0</v>
      </c>
      <c r="B4" t="s">
        <v>1</v>
      </c>
    </row>
    <row r="5" spans="1:8" x14ac:dyDescent="0.25">
      <c r="B5" t="s">
        <v>2</v>
      </c>
      <c r="C5" t="s">
        <v>3</v>
      </c>
      <c r="D5" t="s">
        <v>4</v>
      </c>
      <c r="E5" t="s">
        <v>9</v>
      </c>
      <c r="F5" t="s">
        <v>10</v>
      </c>
    </row>
    <row r="6" spans="1:8" x14ac:dyDescent="0.25">
      <c r="A6" s="36" t="s">
        <v>11</v>
      </c>
      <c r="B6" s="36"/>
      <c r="C6" s="36"/>
      <c r="D6" s="36"/>
      <c r="E6" s="36"/>
      <c r="F6" s="36"/>
    </row>
    <row r="7" spans="1:8" x14ac:dyDescent="0.25">
      <c r="A7" t="s">
        <v>72</v>
      </c>
    </row>
    <row r="8" spans="1:8" x14ac:dyDescent="0.25">
      <c r="A8" t="s">
        <v>5</v>
      </c>
      <c r="B8">
        <v>900</v>
      </c>
      <c r="C8">
        <v>900</v>
      </c>
      <c r="D8">
        <v>1800</v>
      </c>
      <c r="E8">
        <v>1800</v>
      </c>
      <c r="F8" s="2">
        <v>0</v>
      </c>
    </row>
    <row r="9" spans="1:8" x14ac:dyDescent="0.25">
      <c r="A9" s="24" t="s">
        <v>6</v>
      </c>
      <c r="B9" s="24">
        <v>420</v>
      </c>
      <c r="C9" s="24">
        <v>-25</v>
      </c>
      <c r="D9" s="24">
        <v>198.04945325111584</v>
      </c>
      <c r="E9" s="24">
        <f t="shared" ref="E9" si="0">(C9+B9)/2</f>
        <v>197.5</v>
      </c>
      <c r="F9" s="25">
        <f t="shared" ref="F9" si="1">(E9-D9)/D9</f>
        <v>-2.7743234939364304E-3</v>
      </c>
    </row>
    <row r="10" spans="1:8" x14ac:dyDescent="0.25">
      <c r="A10" t="s">
        <v>7</v>
      </c>
      <c r="B10">
        <v>210.00000000000003</v>
      </c>
      <c r="C10">
        <v>210.00000000000003</v>
      </c>
      <c r="D10">
        <v>210.00000000000003</v>
      </c>
      <c r="E10">
        <v>210.00000000000003</v>
      </c>
      <c r="F10" s="2">
        <v>0</v>
      </c>
    </row>
    <row r="11" spans="1:8" x14ac:dyDescent="0.25">
      <c r="A11" t="s">
        <v>8</v>
      </c>
      <c r="B11">
        <v>0.74</v>
      </c>
      <c r="C11">
        <v>0.66</v>
      </c>
      <c r="D11">
        <v>0.7</v>
      </c>
      <c r="E11">
        <v>0.7</v>
      </c>
      <c r="F11" s="2">
        <v>0</v>
      </c>
    </row>
    <row r="12" spans="1:8" x14ac:dyDescent="0.25">
      <c r="A12" t="s">
        <v>8</v>
      </c>
      <c r="B12">
        <v>0.24</v>
      </c>
      <c r="C12">
        <v>0.22</v>
      </c>
      <c r="D12">
        <v>0.23</v>
      </c>
      <c r="E12">
        <v>0.22999999999999998</v>
      </c>
      <c r="F12" s="2">
        <v>-1.206764157201257E-16</v>
      </c>
    </row>
    <row r="13" spans="1:8" x14ac:dyDescent="0.25">
      <c r="A13" t="s">
        <v>8</v>
      </c>
      <c r="B13">
        <v>0.01</v>
      </c>
      <c r="C13">
        <v>3.7999999999999999E-2</v>
      </c>
      <c r="D13">
        <v>2.4E-2</v>
      </c>
      <c r="E13">
        <v>2.4E-2</v>
      </c>
      <c r="F13" s="2">
        <v>0</v>
      </c>
    </row>
    <row r="14" spans="1:8" x14ac:dyDescent="0.25">
      <c r="A14" t="s">
        <v>8</v>
      </c>
      <c r="B14">
        <v>0.01</v>
      </c>
      <c r="C14">
        <v>1.7000000000000001E-2</v>
      </c>
      <c r="D14">
        <v>1.3500000000000002E-2</v>
      </c>
      <c r="E14">
        <v>1.3500000000000002E-2</v>
      </c>
      <c r="F14" s="2">
        <v>0</v>
      </c>
    </row>
    <row r="15" spans="1:8" x14ac:dyDescent="0.25">
      <c r="A15" t="s">
        <v>8</v>
      </c>
      <c r="B15">
        <v>0</v>
      </c>
      <c r="C15">
        <v>6.5000000000000002E-2</v>
      </c>
      <c r="D15">
        <v>3.2500000000000001E-2</v>
      </c>
      <c r="E15">
        <v>3.2500000000000001E-2</v>
      </c>
      <c r="F15" s="2">
        <v>0</v>
      </c>
    </row>
    <row r="16" spans="1:8" x14ac:dyDescent="0.25">
      <c r="A16" t="s">
        <v>73</v>
      </c>
      <c r="F16" s="2"/>
    </row>
    <row r="17" spans="1:6" x14ac:dyDescent="0.25">
      <c r="A17" t="s">
        <v>5</v>
      </c>
      <c r="B17">
        <v>900</v>
      </c>
      <c r="C17">
        <v>900</v>
      </c>
      <c r="D17">
        <v>1800</v>
      </c>
      <c r="E17">
        <v>1800</v>
      </c>
      <c r="F17" s="2">
        <v>0</v>
      </c>
    </row>
    <row r="18" spans="1:6" x14ac:dyDescent="0.25">
      <c r="A18" s="24" t="s">
        <v>6</v>
      </c>
      <c r="B18" s="24">
        <v>420</v>
      </c>
      <c r="C18" s="24">
        <v>-20</v>
      </c>
      <c r="D18" s="24">
        <v>199.96061164727871</v>
      </c>
      <c r="E18" s="24">
        <f t="shared" ref="E18" si="2">(C18+B18)/2</f>
        <v>200</v>
      </c>
      <c r="F18" s="25">
        <f t="shared" ref="F18" si="3">(E18-D18)/D18</f>
        <v>1.9698055730479812E-4</v>
      </c>
    </row>
    <row r="19" spans="1:6" x14ac:dyDescent="0.25">
      <c r="A19" t="s">
        <v>7</v>
      </c>
      <c r="B19">
        <v>210.00000000000003</v>
      </c>
      <c r="C19">
        <v>210.00000000000003</v>
      </c>
      <c r="D19">
        <v>210.00000000000003</v>
      </c>
      <c r="E19">
        <v>210.00000000000003</v>
      </c>
      <c r="F19" s="2">
        <v>0</v>
      </c>
    </row>
    <row r="20" spans="1:6" x14ac:dyDescent="0.25">
      <c r="A20" t="s">
        <v>8</v>
      </c>
      <c r="B20">
        <v>0.74</v>
      </c>
      <c r="C20">
        <v>0.70378151260504196</v>
      </c>
      <c r="D20">
        <v>0.72189075630252086</v>
      </c>
      <c r="E20">
        <v>0.72189075630252098</v>
      </c>
      <c r="F20" s="2">
        <v>1.5379377210918299E-16</v>
      </c>
    </row>
    <row r="21" spans="1:6" x14ac:dyDescent="0.25">
      <c r="A21" t="s">
        <v>8</v>
      </c>
      <c r="B21">
        <v>0.24</v>
      </c>
      <c r="C21">
        <v>0.23119247699079631</v>
      </c>
      <c r="D21">
        <v>0.23559623849539815</v>
      </c>
      <c r="E21">
        <v>0.23559623849539815</v>
      </c>
      <c r="F21" s="2">
        <v>0</v>
      </c>
    </row>
    <row r="22" spans="1:6" x14ac:dyDescent="0.25">
      <c r="A22" t="s">
        <v>8</v>
      </c>
      <c r="B22">
        <v>0.01</v>
      </c>
      <c r="C22">
        <v>0</v>
      </c>
      <c r="D22">
        <v>5.0000000000000001E-3</v>
      </c>
      <c r="E22">
        <v>5.0000000000000001E-3</v>
      </c>
      <c r="F22" s="2">
        <v>0</v>
      </c>
    </row>
    <row r="23" spans="1:6" x14ac:dyDescent="0.25">
      <c r="A23" t="s">
        <v>8</v>
      </c>
      <c r="B23">
        <v>0.01</v>
      </c>
      <c r="C23">
        <v>0</v>
      </c>
      <c r="D23">
        <v>5.0000000000000001E-3</v>
      </c>
      <c r="E23">
        <v>5.0000000000000001E-3</v>
      </c>
      <c r="F23" s="2">
        <v>0</v>
      </c>
    </row>
    <row r="24" spans="1:6" x14ac:dyDescent="0.25">
      <c r="A24" t="s">
        <v>8</v>
      </c>
      <c r="B24">
        <v>0</v>
      </c>
      <c r="C24">
        <v>6.5026010404161658E-2</v>
      </c>
      <c r="D24">
        <v>3.2513005202080829E-2</v>
      </c>
      <c r="E24">
        <v>3.2513005202080829E-2</v>
      </c>
      <c r="F24" s="2">
        <v>0</v>
      </c>
    </row>
    <row r="25" spans="1:6" x14ac:dyDescent="0.25">
      <c r="A25" t="s">
        <v>74</v>
      </c>
      <c r="F25" s="2"/>
    </row>
    <row r="26" spans="1:6" x14ac:dyDescent="0.25">
      <c r="A26" t="s">
        <v>5</v>
      </c>
      <c r="B26">
        <v>900</v>
      </c>
      <c r="C26">
        <v>900</v>
      </c>
      <c r="D26">
        <v>1800</v>
      </c>
      <c r="E26">
        <v>1800</v>
      </c>
      <c r="F26" s="2">
        <v>0</v>
      </c>
    </row>
    <row r="27" spans="1:6" x14ac:dyDescent="0.25">
      <c r="A27" s="24" t="s">
        <v>6</v>
      </c>
      <c r="B27" s="24">
        <v>420</v>
      </c>
      <c r="C27" s="24">
        <v>-30</v>
      </c>
      <c r="D27" s="24">
        <v>195.03318878932322</v>
      </c>
      <c r="E27" s="24">
        <f t="shared" ref="E27" si="4">(C27+B27)/2</f>
        <v>195</v>
      </c>
      <c r="F27" s="25">
        <f t="shared" ref="F27" si="5">(E27-D27)/D27</f>
        <v>-1.7016995686344483E-4</v>
      </c>
    </row>
    <row r="28" spans="1:6" x14ac:dyDescent="0.25">
      <c r="A28" t="s">
        <v>7</v>
      </c>
      <c r="B28">
        <v>210.00000000000003</v>
      </c>
      <c r="C28">
        <v>210.00000000000003</v>
      </c>
      <c r="D28">
        <v>210.00000000000003</v>
      </c>
      <c r="E28">
        <v>210.00000000000003</v>
      </c>
      <c r="F28" s="2">
        <v>0</v>
      </c>
    </row>
    <row r="29" spans="1:6" x14ac:dyDescent="0.25">
      <c r="A29" t="s">
        <v>8</v>
      </c>
      <c r="B29">
        <v>0.74</v>
      </c>
      <c r="C29">
        <v>0.70351758793969854</v>
      </c>
      <c r="D29">
        <v>0.72175879396984921</v>
      </c>
      <c r="E29">
        <v>0.72175879396984932</v>
      </c>
      <c r="F29" s="2">
        <v>1.5382189090051254E-16</v>
      </c>
    </row>
    <row r="30" spans="1:6" x14ac:dyDescent="0.25">
      <c r="A30" t="s">
        <v>8</v>
      </c>
      <c r="B30">
        <v>0.24</v>
      </c>
      <c r="C30">
        <v>0.23115577889447239</v>
      </c>
      <c r="D30">
        <v>0.23557788944723621</v>
      </c>
      <c r="E30">
        <v>0.23557788944723618</v>
      </c>
      <c r="F30" s="2">
        <v>-1.1781910297589917E-16</v>
      </c>
    </row>
    <row r="31" spans="1:6" x14ac:dyDescent="0.25">
      <c r="A31" t="s">
        <v>8</v>
      </c>
      <c r="B31">
        <v>0.01</v>
      </c>
      <c r="C31">
        <v>0</v>
      </c>
      <c r="D31">
        <v>5.0000000000000001E-3</v>
      </c>
      <c r="E31">
        <v>5.0000000000000001E-3</v>
      </c>
      <c r="F31" s="2">
        <v>0</v>
      </c>
    </row>
    <row r="32" spans="1:6" x14ac:dyDescent="0.25">
      <c r="A32" t="s">
        <v>8</v>
      </c>
      <c r="B32">
        <v>0.01</v>
      </c>
      <c r="C32">
        <v>0</v>
      </c>
      <c r="D32">
        <v>5.0000000000000001E-3</v>
      </c>
      <c r="E32">
        <v>5.0000000000000001E-3</v>
      </c>
      <c r="F32" s="2">
        <v>0</v>
      </c>
    </row>
    <row r="33" spans="1:6" x14ac:dyDescent="0.25">
      <c r="A33" t="s">
        <v>8</v>
      </c>
      <c r="B33">
        <v>0</v>
      </c>
      <c r="C33">
        <v>6.5326633165829151E-2</v>
      </c>
      <c r="D33">
        <v>3.2663316582914576E-2</v>
      </c>
      <c r="E33">
        <v>3.2663316582914576E-2</v>
      </c>
      <c r="F33" s="2">
        <v>0</v>
      </c>
    </row>
    <row r="34" spans="1:6" x14ac:dyDescent="0.25">
      <c r="A34" t="s">
        <v>75</v>
      </c>
    </row>
    <row r="35" spans="1:6" x14ac:dyDescent="0.25">
      <c r="A35" t="s">
        <v>5</v>
      </c>
      <c r="B35">
        <v>900</v>
      </c>
      <c r="C35">
        <v>900</v>
      </c>
      <c r="D35">
        <v>1800</v>
      </c>
      <c r="E35">
        <v>1800</v>
      </c>
      <c r="F35" s="4">
        <v>0</v>
      </c>
    </row>
    <row r="36" spans="1:6" x14ac:dyDescent="0.25">
      <c r="A36" s="24" t="s">
        <v>6</v>
      </c>
      <c r="B36" s="24">
        <v>420</v>
      </c>
      <c r="C36" s="24">
        <v>-30</v>
      </c>
      <c r="D36" s="24">
        <v>196.83404951733996</v>
      </c>
      <c r="E36" s="24">
        <f t="shared" ref="E36" si="6">(C36+B36)/2</f>
        <v>195</v>
      </c>
      <c r="F36" s="25">
        <f t="shared" ref="F36" si="7">(E36-D36)/D36</f>
        <v>-9.3177451860451295E-3</v>
      </c>
    </row>
    <row r="37" spans="1:6" x14ac:dyDescent="0.25">
      <c r="A37" t="s">
        <v>7</v>
      </c>
      <c r="B37">
        <v>210.00000000000003</v>
      </c>
      <c r="C37">
        <v>210.00000000000003</v>
      </c>
      <c r="D37">
        <v>210.00000000000003</v>
      </c>
      <c r="E37">
        <v>210.00000000000003</v>
      </c>
      <c r="F37" s="4">
        <v>0</v>
      </c>
    </row>
    <row r="38" spans="1:6" x14ac:dyDescent="0.25">
      <c r="A38" t="s">
        <v>8</v>
      </c>
      <c r="B38">
        <v>0.74</v>
      </c>
      <c r="C38">
        <v>0.8</v>
      </c>
      <c r="D38">
        <v>0.77</v>
      </c>
      <c r="E38">
        <v>0.77</v>
      </c>
      <c r="F38" s="4">
        <v>0</v>
      </c>
    </row>
    <row r="39" spans="1:6" x14ac:dyDescent="0.25">
      <c r="A39" t="s">
        <v>8</v>
      </c>
      <c r="B39">
        <v>0.24</v>
      </c>
      <c r="C39">
        <v>0.19</v>
      </c>
      <c r="D39">
        <v>0.215</v>
      </c>
      <c r="E39">
        <v>0.215</v>
      </c>
      <c r="F39" s="4">
        <v>0</v>
      </c>
    </row>
    <row r="40" spans="1:6" x14ac:dyDescent="0.25">
      <c r="A40" t="s">
        <v>8</v>
      </c>
      <c r="B40">
        <v>0.01</v>
      </c>
      <c r="C40">
        <v>0</v>
      </c>
      <c r="D40">
        <v>5.0000000000000001E-3</v>
      </c>
      <c r="E40">
        <v>5.0000000000000001E-3</v>
      </c>
      <c r="F40" s="4">
        <v>0</v>
      </c>
    </row>
    <row r="41" spans="1:6" x14ac:dyDescent="0.25">
      <c r="A41" t="s">
        <v>8</v>
      </c>
      <c r="B41">
        <v>0.01</v>
      </c>
      <c r="C41">
        <v>0</v>
      </c>
      <c r="D41">
        <v>5.0000000000000001E-3</v>
      </c>
      <c r="E41">
        <v>5.0000000000000001E-3</v>
      </c>
      <c r="F41" s="4">
        <v>0</v>
      </c>
    </row>
    <row r="42" spans="1:6" x14ac:dyDescent="0.25">
      <c r="A42" t="s">
        <v>8</v>
      </c>
      <c r="B42">
        <v>0</v>
      </c>
      <c r="C42">
        <v>0.01</v>
      </c>
      <c r="D42">
        <v>5.0000000000000001E-3</v>
      </c>
      <c r="E42">
        <v>5.0000000000000001E-3</v>
      </c>
      <c r="F42" s="4">
        <v>0</v>
      </c>
    </row>
  </sheetData>
  <mergeCells count="1">
    <mergeCell ref="A6:F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I13" sqref="I13"/>
    </sheetView>
  </sheetViews>
  <sheetFormatPr defaultRowHeight="15" x14ac:dyDescent="0.25"/>
  <cols>
    <col min="1" max="1" width="20.140625" customWidth="1"/>
    <col min="3" max="3" width="12.7109375" bestFit="1" customWidth="1"/>
    <col min="4" max="4" width="10.7109375" bestFit="1" customWidth="1"/>
    <col min="5" max="5" width="11.140625" customWidth="1"/>
  </cols>
  <sheetData>
    <row r="1" spans="1:11" x14ac:dyDescent="0.25">
      <c r="A1" s="37" t="s">
        <v>81</v>
      </c>
      <c r="B1" s="37"/>
      <c r="C1" s="37"/>
      <c r="D1" s="37"/>
      <c r="E1" s="37"/>
      <c r="F1" s="37"/>
      <c r="G1" s="37"/>
      <c r="H1" s="37"/>
      <c r="I1" s="37"/>
      <c r="J1" t="s">
        <v>0</v>
      </c>
      <c r="K1" t="s">
        <v>12</v>
      </c>
    </row>
    <row r="2" spans="1:11" x14ac:dyDescent="0.25">
      <c r="A2" t="s">
        <v>79</v>
      </c>
      <c r="B2" s="23"/>
      <c r="C2" s="23"/>
      <c r="D2" s="23"/>
      <c r="E2" s="23"/>
      <c r="F2" s="23"/>
      <c r="G2" s="23"/>
    </row>
    <row r="3" spans="1:11" x14ac:dyDescent="0.25">
      <c r="B3" t="s">
        <v>14</v>
      </c>
      <c r="C3" t="s">
        <v>15</v>
      </c>
      <c r="D3" t="s">
        <v>16</v>
      </c>
      <c r="E3" t="s">
        <v>17</v>
      </c>
      <c r="F3" t="s">
        <v>25</v>
      </c>
      <c r="G3" t="s">
        <v>24</v>
      </c>
    </row>
    <row r="4" spans="1:11" x14ac:dyDescent="0.25">
      <c r="A4" t="s">
        <v>18</v>
      </c>
      <c r="B4">
        <v>3.2490000000000001</v>
      </c>
      <c r="C4">
        <v>4.2200000000000001E-4</v>
      </c>
      <c r="D4">
        <v>0</v>
      </c>
      <c r="E4">
        <v>8300</v>
      </c>
      <c r="F4">
        <f>(B$16+C$16)/2</f>
        <v>315.65999999999997</v>
      </c>
      <c r="G4">
        <f>8.314*(B4+C4*F4+D4*F4^2+E4/(F4^2))</f>
        <v>28.812228245972573</v>
      </c>
    </row>
    <row r="5" spans="1:11" x14ac:dyDescent="0.25">
      <c r="A5" t="s">
        <v>19</v>
      </c>
      <c r="B5">
        <v>3.28</v>
      </c>
      <c r="C5">
        <v>5.9299999999999999E-4</v>
      </c>
      <c r="D5">
        <v>0</v>
      </c>
      <c r="E5">
        <v>4000</v>
      </c>
      <c r="F5">
        <f>(B$16+C$16)/2</f>
        <v>315.65999999999997</v>
      </c>
      <c r="G5">
        <f>8.314*(B5+C5*F5+D5*F5^2+E5/(F5^2))</f>
        <v>29.159944966063406</v>
      </c>
    </row>
    <row r="6" spans="1:11" x14ac:dyDescent="0.25">
      <c r="A6" t="s">
        <v>20</v>
      </c>
      <c r="B6">
        <v>2.5099999999999998</v>
      </c>
      <c r="C6">
        <v>0</v>
      </c>
      <c r="D6">
        <v>0</v>
      </c>
      <c r="E6">
        <v>0</v>
      </c>
      <c r="F6">
        <f>(B$16+C$16)/2</f>
        <v>315.65999999999997</v>
      </c>
      <c r="G6">
        <f>8.314*(B6+C6*F6+D6*F6^2+E6/(F6^2))</f>
        <v>20.868139999999997</v>
      </c>
    </row>
    <row r="7" spans="1:11" x14ac:dyDescent="0.25">
      <c r="A7" t="s">
        <v>21</v>
      </c>
      <c r="B7">
        <v>1.702</v>
      </c>
      <c r="C7">
        <v>9.0810000000000005E-3</v>
      </c>
      <c r="D7">
        <v>-2.2000000000000001E-6</v>
      </c>
      <c r="E7">
        <v>0</v>
      </c>
      <c r="F7">
        <f>(B$16+C$16)/2</f>
        <v>315.65999999999997</v>
      </c>
      <c r="G7">
        <f>8.314*(B7+C7*F7+D7*F7^2+E7/(F7^2))</f>
        <v>36.160061424327523</v>
      </c>
    </row>
    <row r="8" spans="1:11" x14ac:dyDescent="0.25">
      <c r="A8" t="s">
        <v>22</v>
      </c>
      <c r="B8">
        <v>3.5779999999999998</v>
      </c>
      <c r="C8">
        <v>3.0200000000000001E-3</v>
      </c>
      <c r="D8">
        <v>0</v>
      </c>
      <c r="E8">
        <v>-18600</v>
      </c>
      <c r="F8">
        <f>(B$16+C$16)/2</f>
        <v>315.65999999999997</v>
      </c>
      <c r="G8">
        <f>8.314*(B8+C8*F8+D8*F8^2+E8/(F8^2))</f>
        <v>36.121199742043146</v>
      </c>
    </row>
    <row r="9" spans="1:11" x14ac:dyDescent="0.25">
      <c r="A9" t="s">
        <v>23</v>
      </c>
      <c r="B9">
        <f>B18*G4+B19*G5+B20*G6+B21*G7+B22*G8</f>
        <v>29.027040316889558</v>
      </c>
      <c r="C9">
        <f>0.277777*B9*C15*(C16-B16)/1000000</f>
        <v>2.1252656893638178</v>
      </c>
    </row>
    <row r="10" spans="1:11" x14ac:dyDescent="0.25">
      <c r="A10" t="s">
        <v>27</v>
      </c>
      <c r="B10">
        <f>B15*B9*(C16-B16)*0.27777/1000000</f>
        <v>2.1252121325184867</v>
      </c>
    </row>
    <row r="11" spans="1:11" x14ac:dyDescent="0.25">
      <c r="A11" t="s">
        <v>80</v>
      </c>
      <c r="B11">
        <v>2.2016690800516492</v>
      </c>
    </row>
    <row r="12" spans="1:11" x14ac:dyDescent="0.25">
      <c r="A12" t="s">
        <v>10</v>
      </c>
      <c r="B12" s="3">
        <v>-3.4726811683874328E-2</v>
      </c>
    </row>
    <row r="13" spans="1:11" x14ac:dyDescent="0.25">
      <c r="B13" s="36" t="s">
        <v>13</v>
      </c>
      <c r="C13" s="36"/>
      <c r="J13" s="36"/>
      <c r="K13" s="36"/>
    </row>
    <row r="14" spans="1:11" ht="16.5" customHeight="1" x14ac:dyDescent="0.25">
      <c r="B14" t="s">
        <v>2</v>
      </c>
      <c r="C14" t="s">
        <v>26</v>
      </c>
    </row>
    <row r="15" spans="1:11" x14ac:dyDescent="0.25">
      <c r="A15" t="s">
        <v>5</v>
      </c>
      <c r="B15" s="5">
        <v>1562.61</v>
      </c>
      <c r="C15" s="5">
        <v>1562.61</v>
      </c>
      <c r="F15" s="2"/>
      <c r="J15" s="5"/>
      <c r="K15" s="5"/>
    </row>
    <row r="16" spans="1:11" x14ac:dyDescent="0.25">
      <c r="A16" t="s">
        <v>6</v>
      </c>
      <c r="B16" s="5">
        <v>231.32</v>
      </c>
      <c r="C16" s="5">
        <v>400</v>
      </c>
      <c r="F16" s="2"/>
      <c r="J16" s="5"/>
      <c r="K16" s="5"/>
    </row>
    <row r="17" spans="1:11" x14ac:dyDescent="0.25">
      <c r="A17" t="s">
        <v>7</v>
      </c>
      <c r="B17" s="5">
        <v>210.00000000000003</v>
      </c>
      <c r="C17" s="5">
        <v>200.00000000000003</v>
      </c>
      <c r="F17" s="2"/>
      <c r="J17" s="5"/>
      <c r="K17" s="5"/>
    </row>
    <row r="18" spans="1:11" x14ac:dyDescent="0.25">
      <c r="A18" t="s">
        <v>8</v>
      </c>
      <c r="B18" s="5">
        <v>0.7</v>
      </c>
      <c r="C18" s="5">
        <v>0.7</v>
      </c>
      <c r="F18" s="2"/>
      <c r="J18" s="5"/>
      <c r="K18" s="5"/>
    </row>
    <row r="19" spans="1:11" x14ac:dyDescent="0.25">
      <c r="A19" t="s">
        <v>8</v>
      </c>
      <c r="B19" s="5">
        <v>0.23599999999999999</v>
      </c>
      <c r="C19" s="5">
        <v>0.23599999999999999</v>
      </c>
      <c r="F19" s="2"/>
      <c r="J19" s="5"/>
      <c r="K19" s="5"/>
    </row>
    <row r="20" spans="1:11" x14ac:dyDescent="0.25">
      <c r="A20" t="s">
        <v>8</v>
      </c>
      <c r="B20" s="5">
        <v>2.1999999999999999E-2</v>
      </c>
      <c r="C20" s="5">
        <v>2.1999999999999999E-2</v>
      </c>
      <c r="F20" s="2"/>
      <c r="J20" s="5"/>
      <c r="K20" s="5"/>
    </row>
    <row r="21" spans="1:11" x14ac:dyDescent="0.25">
      <c r="A21" t="s">
        <v>8</v>
      </c>
      <c r="B21" s="5">
        <v>1.4E-2</v>
      </c>
      <c r="C21" s="5">
        <v>1.3999999999999999E-2</v>
      </c>
      <c r="F21" s="2"/>
      <c r="J21" s="5"/>
      <c r="K21" s="5"/>
    </row>
    <row r="22" spans="1:11" x14ac:dyDescent="0.25">
      <c r="A22" t="s">
        <v>8</v>
      </c>
      <c r="B22" s="5">
        <v>2.8000000000000001E-2</v>
      </c>
      <c r="C22" s="5">
        <v>2.8000000000000001E-2</v>
      </c>
      <c r="F22" s="2"/>
      <c r="J22" s="5"/>
      <c r="K22" s="5"/>
    </row>
  </sheetData>
  <mergeCells count="2">
    <mergeCell ref="B13:C13"/>
    <mergeCell ref="J13:K1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26" sqref="C26:C27"/>
    </sheetView>
  </sheetViews>
  <sheetFormatPr defaultRowHeight="15" x14ac:dyDescent="0.25"/>
  <cols>
    <col min="2" max="2" width="14.85546875" customWidth="1"/>
    <col min="4" max="4" width="14" customWidth="1"/>
    <col min="5" max="5" width="16" customWidth="1"/>
    <col min="6" max="6" width="14.85546875" customWidth="1"/>
    <col min="10" max="10" width="13.85546875" customWidth="1"/>
    <col min="11" max="11" width="12.7109375" bestFit="1" customWidth="1"/>
    <col min="12" max="12" width="14" customWidth="1"/>
    <col min="15" max="15" width="10.85546875" customWidth="1"/>
  </cols>
  <sheetData>
    <row r="1" spans="1:13" x14ac:dyDescent="0.25">
      <c r="A1" s="28" t="s">
        <v>84</v>
      </c>
      <c r="B1" s="29"/>
      <c r="C1" s="29"/>
      <c r="D1" s="29"/>
      <c r="E1" s="29"/>
      <c r="F1" s="29"/>
      <c r="G1" s="29"/>
      <c r="H1" s="29"/>
      <c r="I1" s="27"/>
      <c r="J1" s="30"/>
    </row>
    <row r="2" spans="1:13" x14ac:dyDescent="0.25">
      <c r="A2" s="31" t="s">
        <v>82</v>
      </c>
      <c r="B2" s="27"/>
      <c r="C2" s="27"/>
      <c r="D2" s="27"/>
      <c r="E2" s="27"/>
      <c r="F2" s="27"/>
      <c r="G2" s="27"/>
      <c r="H2" s="27"/>
      <c r="I2" s="27"/>
      <c r="J2" s="32"/>
    </row>
    <row r="3" spans="1:13" x14ac:dyDescent="0.25">
      <c r="A3" s="31" t="s">
        <v>83</v>
      </c>
      <c r="B3" s="27"/>
      <c r="C3" s="27"/>
      <c r="D3" s="27"/>
      <c r="E3" s="27"/>
      <c r="F3" s="27"/>
      <c r="G3" s="27"/>
      <c r="H3" s="27"/>
      <c r="I3" s="27"/>
      <c r="J3" s="32"/>
    </row>
    <row r="4" spans="1:13" x14ac:dyDescent="0.25">
      <c r="A4" s="35" t="s">
        <v>0</v>
      </c>
      <c r="B4" s="33" t="s">
        <v>12</v>
      </c>
      <c r="C4" s="33"/>
      <c r="D4" s="33"/>
      <c r="E4" s="33"/>
      <c r="F4" s="33"/>
      <c r="G4" s="33"/>
      <c r="H4" s="33"/>
      <c r="I4" s="33"/>
      <c r="J4" s="34"/>
    </row>
    <row r="5" spans="1:13" x14ac:dyDescent="0.25">
      <c r="A5" t="s">
        <v>28</v>
      </c>
      <c r="B5" t="s">
        <v>29</v>
      </c>
      <c r="C5" t="s">
        <v>30</v>
      </c>
      <c r="D5" t="s">
        <v>36</v>
      </c>
      <c r="E5" t="s">
        <v>10</v>
      </c>
      <c r="G5" t="s">
        <v>31</v>
      </c>
      <c r="H5" t="s">
        <v>32</v>
      </c>
      <c r="I5" t="s">
        <v>36</v>
      </c>
      <c r="J5" t="s">
        <v>10</v>
      </c>
    </row>
    <row r="6" spans="1:13" x14ac:dyDescent="0.25">
      <c r="A6">
        <v>390</v>
      </c>
      <c r="B6">
        <v>1190.6053678759881</v>
      </c>
      <c r="C6">
        <v>12250.229980356955</v>
      </c>
      <c r="D6">
        <f>A6*B$10+B$11</f>
        <v>12251.376642998175</v>
      </c>
      <c r="E6" s="3">
        <f>(D6-C6)/C6</f>
        <v>9.3603356268323197E-5</v>
      </c>
      <c r="F6" s="3"/>
      <c r="G6">
        <v>-24</v>
      </c>
      <c r="H6">
        <v>-8815.8088967033636</v>
      </c>
      <c r="I6">
        <f>G6*J$10+J$11</f>
        <v>-8818.6360217831152</v>
      </c>
      <c r="J6" s="3">
        <f>(I6-H6)/H6</f>
        <v>3.2068810847394387E-4</v>
      </c>
    </row>
    <row r="7" spans="1:13" x14ac:dyDescent="0.25">
      <c r="A7">
        <v>400</v>
      </c>
      <c r="B7">
        <v>1210.5203742064491</v>
      </c>
      <c r="C7">
        <v>12509.982995113745</v>
      </c>
      <c r="D7">
        <f>A7*B$10+B$11</f>
        <v>12508.783409098709</v>
      </c>
      <c r="E7" s="3">
        <f>(D7-C7)/C7</f>
        <v>-9.5890299411673601E-5</v>
      </c>
      <c r="F7" s="3"/>
      <c r="G7">
        <v>-29</v>
      </c>
      <c r="H7">
        <v>-9068.9566805736722</v>
      </c>
      <c r="I7">
        <f>G7*J$10+J$11</f>
        <v>-9066.0675842419332</v>
      </c>
      <c r="J7" s="3">
        <f>(I7-H7)/H7</f>
        <v>-3.185698679019634E-4</v>
      </c>
      <c r="M7" s="2"/>
    </row>
    <row r="8" spans="1:13" x14ac:dyDescent="0.25">
      <c r="A8">
        <v>410</v>
      </c>
      <c r="B8" s="8">
        <v>1230.2753415482687</v>
      </c>
      <c r="C8">
        <v>12767.230991092832</v>
      </c>
      <c r="D8">
        <f>A8*B$10+B$11</f>
        <v>12766.190175199241</v>
      </c>
      <c r="E8" s="3">
        <f>(D8-C8)/C8</f>
        <v>-8.1522445573179085E-5</v>
      </c>
      <c r="F8" s="3"/>
      <c r="G8">
        <v>-34</v>
      </c>
      <c r="H8">
        <v>-9316.2023292765261</v>
      </c>
      <c r="I8">
        <f>G8*J$10+J$11</f>
        <v>-9313.4991467007494</v>
      </c>
      <c r="J8" s="3">
        <f>(I8-H8)/H8</f>
        <v>-2.9015928167230555E-4</v>
      </c>
    </row>
    <row r="9" spans="1:13" x14ac:dyDescent="0.25">
      <c r="A9">
        <v>420</v>
      </c>
      <c r="B9">
        <v>1249.774678439032</v>
      </c>
      <c r="C9">
        <v>13022.503202032367</v>
      </c>
      <c r="D9">
        <f>A9*B$10+B$11</f>
        <v>13023.596941299773</v>
      </c>
      <c r="E9" s="3">
        <f>(D9-C9)/C9</f>
        <v>8.3988404566889493E-5</v>
      </c>
      <c r="F9" s="3"/>
      <c r="G9">
        <v>-39</v>
      </c>
      <c r="H9">
        <v>-9558.1655553318033</v>
      </c>
      <c r="I9">
        <f>G9*J$10+J$11</f>
        <v>-9560.9307091595674</v>
      </c>
      <c r="J9" s="3">
        <f>(I9-H9)/H9</f>
        <v>2.8929754478061688E-4</v>
      </c>
    </row>
    <row r="10" spans="1:13" x14ac:dyDescent="0.25">
      <c r="A10" s="9" t="s">
        <v>33</v>
      </c>
      <c r="B10">
        <f>SLOPE(C6:C9,A6:A9)</f>
        <v>25.740676610053232</v>
      </c>
      <c r="I10" s="9" t="s">
        <v>33</v>
      </c>
      <c r="J10">
        <f>SLOPE(H6:H9,G6:G9)</f>
        <v>49.486312491763456</v>
      </c>
    </row>
    <row r="11" spans="1:13" x14ac:dyDescent="0.25">
      <c r="A11" s="9" t="s">
        <v>34</v>
      </c>
      <c r="B11" s="6">
        <f>INDEX(LINEST(C6:C9,A6:A9,TRUE),2)</f>
        <v>2212.5127650774157</v>
      </c>
      <c r="I11" s="9" t="s">
        <v>34</v>
      </c>
      <c r="J11" s="6">
        <f>INDEX(LINEST(H6:H9,G6:G9,TRUE),2)</f>
        <v>-7630.9645219807926</v>
      </c>
    </row>
    <row r="12" spans="1:13" x14ac:dyDescent="0.25">
      <c r="A12" s="10" t="s">
        <v>35</v>
      </c>
      <c r="B12" s="6">
        <f>INDEX(LINEST(B6:B9,A6:A9,TRUE,TRUE),3)</f>
        <v>0.99997756453168529</v>
      </c>
      <c r="I12" s="10" t="s">
        <v>35</v>
      </c>
      <c r="J12" s="6">
        <f>INDEX(LINEST(H6:H9,G6:G9,TRUE,TRUE),3)</f>
        <v>0.99989778382381889</v>
      </c>
    </row>
    <row r="13" spans="1:13" x14ac:dyDescent="0.25">
      <c r="K13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flash</vt:lpstr>
      <vt:lpstr>compressors</vt:lpstr>
      <vt:lpstr>mixer</vt:lpstr>
      <vt:lpstr>heater1</vt:lpstr>
      <vt:lpstr>heater 2</vt:lpstr>
    </vt:vector>
  </TitlesOfParts>
  <Company>VRTech Tecnologias Industriais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edsoncv</dc:creator>
  <cp:lastModifiedBy>edsoncv</cp:lastModifiedBy>
  <dcterms:created xsi:type="dcterms:W3CDTF">2012-11-10T12:22:13Z</dcterms:created>
  <dcterms:modified xsi:type="dcterms:W3CDTF">2013-03-04T13:56:00Z</dcterms:modified>
</cp:coreProperties>
</file>