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65C523CA-9FE2-4355-8C90-D2480B2DE6FA}" xr6:coauthVersionLast="47" xr6:coauthVersionMax="47" xr10:uidLastSave="{00000000-0000-0000-0000-000000000000}"/>
  <bookViews>
    <workbookView xWindow="14850" yWindow="4500" windowWidth="19155" windowHeight="12045" tabRatio="694" activeTab="3" xr2:uid="{00000000-000D-0000-FFFF-FFFF00000000}"/>
  </bookViews>
  <sheets>
    <sheet name="Documentation" sheetId="162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140" l="1"/>
  <c r="X11" i="140"/>
  <c r="X12" i="140"/>
  <c r="X13" i="140"/>
  <c r="X14" i="140"/>
  <c r="X15" i="140"/>
  <c r="X16" i="140"/>
  <c r="X17" i="140"/>
  <c r="X9" i="140"/>
  <c r="Z10" i="161"/>
  <c r="Z11" i="161"/>
  <c r="Z12" i="161"/>
  <c r="Z13" i="161"/>
  <c r="Z14" i="161"/>
  <c r="Z15" i="161"/>
  <c r="Z16" i="161"/>
  <c r="Z17" i="161"/>
  <c r="Z18" i="161"/>
  <c r="Z19" i="161"/>
  <c r="Z20" i="161"/>
  <c r="Z21" i="161"/>
  <c r="Z22" i="161"/>
  <c r="Z23" i="161"/>
  <c r="Z24" i="161"/>
  <c r="Z25" i="161"/>
  <c r="Z26" i="161"/>
  <c r="Z27" i="161"/>
  <c r="Z28" i="161"/>
  <c r="Z29" i="161"/>
  <c r="Z30" i="161"/>
  <c r="Z31" i="161"/>
  <c r="Z32" i="161"/>
  <c r="Z33" i="161"/>
  <c r="Z34" i="161"/>
  <c r="Z35" i="161"/>
  <c r="Z9" i="161"/>
  <c r="H9" i="161"/>
  <c r="H10" i="161"/>
  <c r="H11" i="161"/>
  <c r="H12" i="161"/>
  <c r="H13" i="161"/>
  <c r="H14" i="161"/>
  <c r="H15" i="161"/>
  <c r="H16" i="161"/>
  <c r="H17" i="161"/>
  <c r="H18" i="161"/>
  <c r="H19" i="161"/>
  <c r="H20" i="161"/>
  <c r="H21" i="161"/>
  <c r="H8" i="161"/>
  <c r="G9" i="140"/>
  <c r="G10" i="140"/>
  <c r="G11" i="140"/>
  <c r="G12" i="140"/>
  <c r="G13" i="140"/>
  <c r="G14" i="140"/>
  <c r="G15" i="140"/>
  <c r="G16" i="140"/>
  <c r="G17" i="140"/>
  <c r="G8" i="140"/>
  <c r="F64" i="161"/>
  <c r="F63" i="161"/>
  <c r="H62" i="161" l="1"/>
  <c r="H60" i="161"/>
  <c r="H61" i="161" l="1"/>
  <c r="L64" i="161" l="1"/>
  <c r="M64" i="161"/>
  <c r="O64" i="161"/>
  <c r="O63" i="161"/>
  <c r="H64" i="161"/>
  <c r="H63" i="161"/>
  <c r="E64" i="161"/>
  <c r="E63" i="161"/>
  <c r="C64" i="161"/>
  <c r="D64" i="161" s="1"/>
  <c r="AA29" i="161"/>
  <c r="G64" i="161"/>
  <c r="D35" i="140" l="1"/>
  <c r="B35" i="140"/>
  <c r="K34" i="140"/>
  <c r="J34" i="140"/>
  <c r="I34" i="140"/>
  <c r="L27" i="140"/>
  <c r="L25" i="140"/>
  <c r="AA28" i="161" l="1"/>
  <c r="AA27" i="161"/>
  <c r="AA26" i="161"/>
  <c r="AA25" i="161"/>
  <c r="AA24" i="161"/>
  <c r="AA23" i="161"/>
  <c r="AA22" i="161"/>
  <c r="AA20" i="161"/>
  <c r="U20" i="161"/>
  <c r="C55" i="161" s="1"/>
  <c r="D55" i="161" s="1"/>
  <c r="AA19" i="161"/>
  <c r="U19" i="161"/>
  <c r="C54" i="161" s="1"/>
  <c r="D54" i="161" s="1"/>
  <c r="AA18" i="161"/>
  <c r="U18" i="161"/>
  <c r="C53" i="161" s="1"/>
  <c r="AA17" i="161"/>
  <c r="U17" i="161"/>
  <c r="C52" i="161" s="1"/>
  <c r="D52" i="161" s="1"/>
  <c r="AA16" i="161"/>
  <c r="U16" i="161"/>
  <c r="C51" i="161" s="1"/>
  <c r="D51" i="161" s="1"/>
  <c r="AA15" i="161"/>
  <c r="U15" i="161"/>
  <c r="C48" i="161" s="1"/>
  <c r="AA14" i="161"/>
  <c r="U14" i="161"/>
  <c r="C47" i="161" s="1"/>
  <c r="D47" i="161" s="1"/>
  <c r="AA13" i="161"/>
  <c r="U13" i="161"/>
  <c r="C46" i="161" s="1"/>
  <c r="D46" i="161" s="1"/>
  <c r="AA12" i="161"/>
  <c r="U12" i="161"/>
  <c r="C45" i="161" s="1"/>
  <c r="AA11" i="161"/>
  <c r="U11" i="161"/>
  <c r="C44" i="161" s="1"/>
  <c r="AA10" i="161"/>
  <c r="U10" i="161"/>
  <c r="C43" i="161" s="1"/>
  <c r="D43" i="161" s="1"/>
  <c r="AA9" i="161"/>
  <c r="U9" i="161"/>
  <c r="C42" i="161" s="1"/>
  <c r="D42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J43" i="161"/>
  <c r="J44" i="161" s="1"/>
  <c r="E43" i="161"/>
  <c r="E42" i="161"/>
  <c r="D82" i="161" l="1"/>
  <c r="D81" i="161"/>
  <c r="J45" i="161"/>
  <c r="J46" i="161" s="1"/>
  <c r="L56" i="161"/>
  <c r="L63" i="161"/>
  <c r="L55" i="161"/>
  <c r="L54" i="161"/>
  <c r="L53" i="161"/>
  <c r="L52" i="161"/>
  <c r="L51" i="161"/>
  <c r="L48" i="161"/>
  <c r="L47" i="161"/>
  <c r="L46" i="161"/>
  <c r="L45" i="161"/>
  <c r="L44" i="161"/>
  <c r="L43" i="161"/>
  <c r="L42" i="161"/>
  <c r="M56" i="161"/>
  <c r="M59" i="161"/>
  <c r="M58" i="161"/>
  <c r="M57" i="161"/>
  <c r="M63" i="161"/>
  <c r="M62" i="161"/>
  <c r="M61" i="161"/>
  <c r="M60" i="161"/>
  <c r="M55" i="161"/>
  <c r="M54" i="161"/>
  <c r="M53" i="161"/>
  <c r="M52" i="161"/>
  <c r="M51" i="161"/>
  <c r="M48" i="161"/>
  <c r="M47" i="161"/>
  <c r="M46" i="161"/>
  <c r="M45" i="161"/>
  <c r="M44" i="161"/>
  <c r="M43" i="161"/>
  <c r="M42" i="161"/>
  <c r="L57" i="161" l="1"/>
  <c r="L60" i="161"/>
  <c r="L61" i="161"/>
  <c r="L58" i="161"/>
  <c r="L62" i="161"/>
  <c r="L59" i="161"/>
  <c r="J47" i="161"/>
  <c r="J48" i="161" l="1"/>
  <c r="J51" i="161" l="1"/>
  <c r="J52" i="161" l="1"/>
  <c r="J53" i="161" l="1"/>
  <c r="J54" i="161" l="1"/>
  <c r="G56" i="161"/>
  <c r="F56" i="161"/>
  <c r="G59" i="161"/>
  <c r="F59" i="161"/>
  <c r="G58" i="161"/>
  <c r="F58" i="161"/>
  <c r="G57" i="161"/>
  <c r="F57" i="161"/>
  <c r="G63" i="161"/>
  <c r="G62" i="161"/>
  <c r="G61" i="161"/>
  <c r="G60" i="161"/>
  <c r="G55" i="161"/>
  <c r="F55" i="161"/>
  <c r="G54" i="161"/>
  <c r="F54" i="161"/>
  <c r="G53" i="161"/>
  <c r="F53" i="161"/>
  <c r="G52" i="161"/>
  <c r="F52" i="161"/>
  <c r="G51" i="161"/>
  <c r="F51" i="161"/>
  <c r="G48" i="161"/>
  <c r="G47" i="161"/>
  <c r="F47" i="161"/>
  <c r="G46" i="161"/>
  <c r="F46" i="161"/>
  <c r="G45" i="161"/>
  <c r="F45" i="161"/>
  <c r="G44" i="161"/>
  <c r="F44" i="161"/>
  <c r="U50" i="161" s="1"/>
  <c r="G43" i="161"/>
  <c r="F43" i="161"/>
  <c r="G42" i="161"/>
  <c r="F42" i="161"/>
  <c r="U49" i="161" s="1"/>
  <c r="J2" i="158"/>
  <c r="F60" i="161" l="1"/>
  <c r="F61" i="161"/>
  <c r="F62" i="161"/>
  <c r="S50" i="161"/>
  <c r="S49" i="161"/>
  <c r="J55" i="161"/>
  <c r="J56" i="161" s="1"/>
  <c r="H66" i="161"/>
  <c r="D84" i="161" s="1"/>
  <c r="H65" i="161"/>
  <c r="D83" i="161" l="1"/>
  <c r="J57" i="161"/>
  <c r="H67" i="161"/>
  <c r="D85" i="161" s="1"/>
  <c r="H68" i="161"/>
  <c r="D86" i="161" s="1"/>
  <c r="H70" i="161" l="1"/>
  <c r="D88" i="161" s="1"/>
  <c r="O55" i="161"/>
  <c r="O46" i="161"/>
  <c r="H46" i="161"/>
  <c r="O42" i="161"/>
  <c r="H42" i="161"/>
  <c r="H69" i="161"/>
  <c r="D87" i="161" s="1"/>
  <c r="O59" i="161"/>
  <c r="H59" i="161"/>
  <c r="O62" i="161"/>
  <c r="O54" i="161"/>
  <c r="H54" i="161"/>
  <c r="O45" i="161"/>
  <c r="H45" i="161"/>
  <c r="O58" i="161"/>
  <c r="H58" i="161"/>
  <c r="O61" i="161"/>
  <c r="O53" i="161"/>
  <c r="H53" i="161"/>
  <c r="O48" i="161"/>
  <c r="H48" i="161"/>
  <c r="O44" i="161"/>
  <c r="H44" i="161"/>
  <c r="K44" i="161" s="1"/>
  <c r="K45" i="161" s="1"/>
  <c r="O57" i="161"/>
  <c r="H57" i="161"/>
  <c r="O60" i="161"/>
  <c r="O52" i="161"/>
  <c r="H52" i="161"/>
  <c r="O47" i="161"/>
  <c r="H47" i="161"/>
  <c r="O43" i="161"/>
  <c r="H43" i="161"/>
  <c r="O56" i="161"/>
  <c r="H56" i="161"/>
  <c r="O51" i="161"/>
  <c r="H51" i="161"/>
  <c r="J58" i="161"/>
  <c r="K47" i="161" l="1"/>
  <c r="D79" i="161"/>
  <c r="K53" i="161"/>
  <c r="D78" i="161"/>
  <c r="K56" i="161"/>
  <c r="K43" i="161"/>
  <c r="D80" i="161"/>
  <c r="K54" i="161"/>
  <c r="K55" i="161" s="1"/>
  <c r="H55" i="161" s="1"/>
  <c r="D77" i="161" s="1"/>
  <c r="K46" i="161"/>
  <c r="K52" i="161"/>
  <c r="K48" i="161"/>
  <c r="K57" i="161"/>
  <c r="K51" i="161"/>
  <c r="K42" i="161"/>
  <c r="D76" i="161"/>
  <c r="J59" i="161"/>
  <c r="K58" i="161"/>
  <c r="K59" i="161" l="1"/>
  <c r="J60" i="161"/>
  <c r="J61" i="161" l="1"/>
  <c r="K61" i="161" s="1"/>
  <c r="K60" i="161"/>
  <c r="J62" i="161" l="1"/>
  <c r="K62" i="161" l="1"/>
  <c r="J63" i="161"/>
  <c r="J64" i="161" l="1"/>
  <c r="K64" i="161" s="1"/>
  <c r="K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Y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Y15" i="140"/>
  <c r="Y16" i="140"/>
  <c r="Y10" i="140"/>
  <c r="Y11" i="140"/>
  <c r="Y12" i="140"/>
  <c r="Y13" i="140"/>
  <c r="Y14" i="140"/>
  <c r="Y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<sst xmlns="http://schemas.openxmlformats.org/spreadsheetml/2006/main" count="1080" uniqueCount="360">
  <si>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</si>
  <si>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</si>
  <si>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</si>
  <si>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</si>
  <si>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</si>
  <si>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</si>
  <si>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</si>
  <si>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</si>
  <si>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</si>
  <si>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</si>
  <si>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</si>
  <si>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</si>
  <si>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</si>
  <si>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</si>
  <si>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</si>
  <si>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</si>
  <si>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</si>
  <si>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</si>
  <si>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</si>
  <si>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</si>
  <si>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</si>
  <si>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</si>
  <si>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</si>
  <si>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</si>
  <si>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</si>
  <si>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</si>
  <si>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</si>
  <si>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</si>
  <si>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</si>
  <si>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</si>
  <si>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</si>
  <si>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</si>
  <si>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</si>
  <si>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</si>
  <si>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</si>
  <si>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</si>
  <si>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</si>
  <si>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</si>
  <si>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</si>
  <si>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</si>
  <si>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</si>
  <si>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</si>
  <si>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</si>
  <si>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</si>
  <si>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</si>
  <si>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</si>
  <si>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</si>
  <si>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</si>
  <si>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</si>
  <si>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</si>
  <si>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</si>
  <si>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</si>
  <si>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</si>
  <si>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</si>
  <si>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</si>
  <si>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</si>
  <si>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</si>
  <si>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</si>
  <si>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</si>
  <si>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</si>
  <si>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</si>
  <si>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</si>
  <si>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</si>
  <si>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</si>
  <si>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</si>
  <si>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</si>
  <si>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</si>
  <si>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</si>
  <si>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</si>
  <si>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</si>
  <si>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</si>
  <si>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</si>
  <si>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</si>
  <si>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</si>
  <si>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</si>
  <si>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</si>
  <si>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</si>
  <si>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</si>
  <si>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</si>
  <si>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</si>
  <si>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</si>
  <si>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</si>
  <si>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</si>
  <si>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</si>
  <si>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</si>
  <si>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</si>
  <si>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</si>
  <si>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</si>
  <si>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</si>
  <si>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</si>
  <si>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</si>
  <si>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</si>
  <si>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</si>
  <si>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</si>
  <si>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</si>
  <si>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</si>
  <si>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</si>
  <si>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</si>
  <si>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</si>
  <si>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</si>
  <si>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</si>
  <si>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</si>
  <si>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</si>
  <si>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</si>
  <si>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</si>
  <si>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</si>
  <si>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</si>
  <si>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</si>
  <si>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</si>
  <si>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</si>
  <si>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</si>
  <si>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</si>
  <si>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</si>
  <si>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</si>
  <si>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</si>
  <si>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</si>
  <si>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</si>
  <si>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</si>
  <si>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</si>
  <si>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</si>
  <si>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</si>
  <si>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</si>
  <si>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</si>
  <si>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</si>
  <si>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</si>
  <si>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</si>
  <si>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</si>
  <si>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</si>
  <si>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</si>
  <si>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</si>
  <si>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</si>
  <si>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</si>
  <si>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</si>
  <si>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</si>
  <si>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</si>
  <si>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</si>
  <si>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</si>
  <si>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</si>
  <si>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</si>
  <si>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</si>
  <si>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</si>
  <si>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</si>
  <si>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</si>
  <si>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</si>
  <si>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</si>
  <si>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</si>
  <si>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</si>
  <si>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</si>
  <si>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</si>
  <si>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</si>
  <si>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</si>
  <si>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</si>
  <si>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</si>
  <si>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</si>
  <si>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</si>
  <si>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</si>
  <si>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</si>
  <si>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</si>
  <si>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</si>
  <si>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</si>
  <si>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</si>
  <si>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</si>
  <si>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</si>
  <si>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</si>
  <si>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</si>
  <si>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</si>
  <si>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</si>
  <si>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</si>
  <si>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</si>
  <si>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</si>
  <si>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</si>
  <si>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</si>
  <si>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</si>
  <si>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</si>
  <si>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</si>
  <si>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</si>
  <si>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</si>
  <si>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</si>
  <si>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</si>
  <si>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</si>
  <si>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</si>
  <si>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</si>
  <si>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</si>
  <si>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</si>
  <si>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</si>
  <si>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</si>
  <si>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</si>
  <si>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</si>
  <si>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</si>
  <si>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</si>
  <si>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</si>
  <si>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</si>
  <si>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</si>
  <si>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</si>
  <si>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</si>
  <si>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</si>
  <si>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</si>
  <si>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</si>
  <si>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</si>
  <si>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</si>
  <si>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</si>
  <si>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</si>
  <si>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</si>
  <si>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</si>
  <si>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</si>
  <si>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</si>
  <si>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</si>
  <si>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</si>
  <si>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</si>
  <si>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</si>
  <si>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</si>
  <si>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</si>
  <si>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</si>
  <si>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</si>
  <si>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</si>
  <si>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</si>
  <si>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</si>
  <si>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</si>
  <si>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</si>
  <si>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</si>
  <si>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</si>
  <si>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</si>
  <si>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</si>
  <si>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</si>
  <si>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</si>
  <si>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</si>
  <si>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</si>
  <si>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</si>
  <si>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</si>
  <si>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</si>
  <si>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</si>
  <si>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</si>
  <si>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</si>
  <si>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</si>
  <si>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</si>
  <si>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</si>
  <si>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</si>
  <si>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</si>
  <si>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</si>
  <si>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</si>
  <si>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</si>
  <si>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</si>
  <si>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</si>
  <si>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</si>
  <si>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</si>
  <si>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</si>
  <si>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</si>
  <si>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</si>
  <si>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</si>
  <si>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</si>
  <si>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</si>
  <si>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</si>
  <si>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</si>
  <si>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</si>
  <si>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</si>
  <si>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</si>
  <si>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</si>
  <si>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</si>
  <si>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</si>
  <si>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</si>
  <si>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</si>
  <si>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</si>
  <si>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</si>
  <si>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</si>
  <si>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</si>
  <si>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</si>
  <si>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</si>
  <si>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</si>
  <si>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</si>
  <si>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</si>
  <si>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</si>
  <si>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</si>
  <si>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</si>
  <si>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</si>
  <si>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</si>
  <si>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</si>
  <si>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</si>
  <si>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</si>
  <si>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</si>
  <si>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</si>
  <si>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</si>
  <si>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</si>
  <si>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</si>
  <si>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</si>
  <si>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</si>
  <si>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</si>
  <si>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</si>
  <si>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</si>
  <si>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</si>
  <si>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</si>
  <si>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</si>
  <si>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</si>
  <si>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</si>
  <si>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</si>
  <si>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</si>
  <si>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</si>
  <si>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</si>
  <si>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</si>
  <si>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</si>
  <si>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</si>
  <si>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</si>
  <si>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</si>
  <si>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</si>
  <si>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</si>
  <si>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</si>
  <si>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</si>
  <si>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</si>
  <si>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</si>
  <si>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</si>
  <si>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</si>
  <si>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</si>
  <si>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</si>
  <si>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</si>
  <si>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</si>
  <si>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</si>
  <si>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</si>
  <si>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</si>
  <si>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</si>
  <si>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</si>
  <si>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</si>
  <si>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</si>
  <si>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</si>
  <si>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</si>
  <si>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</si>
  <si>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</si>
  <si>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* Sector</t>
  </si>
  <si>
    <t>* Subsector</t>
  </si>
  <si>
    <t>Transport</t>
  </si>
  <si>
    <t>Natural Gas</t>
  </si>
  <si>
    <t>Bio Liquids</t>
  </si>
  <si>
    <t>Jet Fuel</t>
  </si>
  <si>
    <t>Green Hydrogen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</si>
  <si>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</si>
  <si>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</si>
  <si>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</si>
  <si>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</si>
  <si>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</si>
  <si>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</si>
  <si>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</si>
  <si>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</si>
  <si>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</si>
  <si>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</si>
  <si>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</si>
  <si>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</si>
  <si>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</si>
  <si>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</si>
  <si>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</si>
  <si>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</si>
  <si>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</si>
  <si>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</si>
  <si>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</si>
  <si>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</si>
  <si>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</si>
  <si>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</si>
  <si>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</si>
  <si>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</si>
  <si>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</si>
  <si>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Workbook: South Island Transport Sector</t>
  </si>
  <si>
    <t>Green Hydrogen Fuel</t>
  </si>
  <si>
    <t>DISTR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</si>
</sst>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  <font>
      <sz val="9"/>
      <name val="Calibri"/>
      <family val="2"/>
      <scheme val="minor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4" applyNumberFormat="0" applyBorder="0" applyProtection="0">
      <alignment horizontal="left"/>
    </xf>
    <xf numFmtId="4" fontId="116" fillId="0" borderId="45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5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290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0" borderId="49" xfId="0" applyFont="1" applyBorder="1" applyAlignment="1">
      <alignment horizontal="center"/>
    </xf>
    <xf numFmtId="9" fontId="53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179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2" fontId="0" fillId="0" borderId="67" xfId="0" applyNumberFormat="1" applyBorder="1" applyAlignment="1">
      <alignment horizontal="center"/>
    </xf>
    <xf numFmtId="179" fontId="0" fillId="0" borderId="67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9" fontId="0" fillId="0" borderId="69" xfId="36094" applyFont="1" applyFill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9" fontId="0" fillId="0" borderId="49" xfId="36094" applyFont="1" applyFill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1" fontId="124" fillId="57" borderId="24" xfId="3" applyNumberFormat="1" applyFont="1" applyFill="1" applyBorder="1"/>
    <xf numFmtId="167" fontId="61" fillId="0" borderId="75" xfId="0" applyNumberFormat="1" applyFont="1" applyBorder="1" applyAlignment="1">
      <alignment horizontal="left" vertical="top"/>
    </xf>
    <xf numFmtId="167" fontId="61" fillId="0" borderId="75" xfId="4" applyNumberFormat="1" applyFont="1" applyBorder="1"/>
    <xf numFmtId="167" fontId="61" fillId="0" borderId="76" xfId="0" applyNumberFormat="1" applyFont="1" applyBorder="1" applyAlignment="1">
      <alignment horizontal="left" vertical="top"/>
    </xf>
    <xf numFmtId="167" fontId="61" fillId="0" borderId="76" xfId="4" applyNumberFormat="1" applyFont="1" applyBorder="1"/>
    <xf numFmtId="167" fontId="61" fillId="0" borderId="76" xfId="4" applyNumberFormat="1" applyFont="1" applyBorder="1" applyAlignment="1">
      <alignment vertical="top"/>
    </xf>
    <xf numFmtId="167" fontId="61" fillId="56" borderId="75" xfId="0" applyNumberFormat="1" applyFont="1" applyFill="1" applyBorder="1" applyAlignment="1">
      <alignment horizontal="left" vertical="top"/>
    </xf>
    <xf numFmtId="167" fontId="61" fillId="56" borderId="75" xfId="4" applyNumberFormat="1" applyFont="1" applyFill="1" applyBorder="1"/>
    <xf numFmtId="167" fontId="61" fillId="56" borderId="75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6" xfId="0" applyNumberFormat="1" applyFont="1" applyFill="1" applyBorder="1" applyAlignment="1">
      <alignment horizontal="left" vertical="top"/>
    </xf>
    <xf numFmtId="167" fontId="61" fillId="56" borderId="76" xfId="4" applyNumberFormat="1" applyFont="1" applyFill="1" applyBorder="1"/>
    <xf numFmtId="167" fontId="61" fillId="56" borderId="76" xfId="4" applyNumberFormat="1" applyFont="1" applyFill="1" applyBorder="1" applyAlignment="1">
      <alignment vertical="top"/>
    </xf>
    <xf numFmtId="0" fontId="61" fillId="0" borderId="75" xfId="0" applyFont="1" applyBorder="1" applyAlignment="1">
      <alignment horizontal="left" vertical="top"/>
    </xf>
    <xf numFmtId="167" fontId="61" fillId="0" borderId="75" xfId="4" applyNumberFormat="1" applyFont="1" applyBorder="1" applyAlignment="1">
      <alignment wrapText="1"/>
    </xf>
    <xf numFmtId="0" fontId="61" fillId="56" borderId="76" xfId="0" applyFont="1" applyFill="1" applyBorder="1" applyAlignment="1">
      <alignment horizontal="left" vertical="top"/>
    </xf>
    <xf numFmtId="167" fontId="61" fillId="56" borderId="76" xfId="4" applyNumberFormat="1" applyFont="1" applyFill="1" applyBorder="1" applyAlignment="1">
      <alignment wrapText="1"/>
    </xf>
    <xf numFmtId="0" fontId="61" fillId="56" borderId="78" xfId="0" applyFont="1" applyFill="1" applyBorder="1" applyAlignment="1">
      <alignment horizontal="left"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 wrapText="1"/>
    </xf>
    <xf numFmtId="0" fontId="61" fillId="0" borderId="77" xfId="0" applyFont="1" applyBorder="1" applyAlignment="1">
      <alignment horizontal="left" vertical="top"/>
    </xf>
    <xf numFmtId="167" fontId="61" fillId="0" borderId="77" xfId="0" applyNumberFormat="1" applyFont="1" applyBorder="1" applyAlignment="1">
      <alignment horizontal="left" vertical="top"/>
    </xf>
    <xf numFmtId="167" fontId="61" fillId="0" borderId="77" xfId="4" applyNumberFormat="1" applyFont="1" applyBorder="1"/>
    <xf numFmtId="167" fontId="61" fillId="0" borderId="77" xfId="4" applyNumberFormat="1" applyFont="1" applyBorder="1" applyAlignment="1">
      <alignment vertical="top" wrapText="1"/>
    </xf>
    <xf numFmtId="2" fontId="61" fillId="108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49" xfId="36094" applyFont="1" applyBorder="1" applyAlignment="1">
      <alignment horizontal="center"/>
    </xf>
    <xf numFmtId="9" fontId="0" fillId="111" borderId="0" xfId="36094" applyFont="1" applyFill="1"/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0" fontId="61" fillId="0" borderId="74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49" xfId="16923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67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77" xfId="4" applyNumberFormat="1" applyFont="1" applyFill="1" applyBorder="1"/>
    <xf numFmtId="0" fontId="61" fillId="0" borderId="41" xfId="0" applyFont="1" applyBorder="1" applyAlignment="1">
      <alignment horizontal="left" vertical="top"/>
    </xf>
    <xf numFmtId="167" fontId="61" fillId="111" borderId="75" xfId="4" applyNumberFormat="1" applyFont="1" applyFill="1" applyBorder="1"/>
    <xf numFmtId="0" fontId="61" fillId="111" borderId="75" xfId="0" applyFont="1" applyFill="1" applyBorder="1" applyAlignment="1">
      <alignment horizontal="left" vertical="top"/>
    </xf>
    <xf numFmtId="167" fontId="61" fillId="111" borderId="75" xfId="0" applyNumberFormat="1" applyFont="1" applyFill="1" applyBorder="1" applyAlignment="1">
      <alignment horizontal="left" vertical="top"/>
    </xf>
    <xf numFmtId="167" fontId="61" fillId="111" borderId="75" xfId="4" applyNumberFormat="1" applyFont="1" applyFill="1" applyBorder="1" applyAlignment="1">
      <alignment wrapText="1"/>
    </xf>
    <xf numFmtId="0" fontId="61" fillId="0" borderId="76" xfId="4" applyFont="1" applyBorder="1"/>
    <xf numFmtId="0" fontId="61" fillId="56" borderId="75" xfId="4" applyFont="1" applyFill="1" applyBorder="1"/>
    <xf numFmtId="0" fontId="61" fillId="56" borderId="24" xfId="4" applyFont="1" applyFill="1" applyBorder="1"/>
    <xf numFmtId="0" fontId="61" fillId="56" borderId="76" xfId="4" applyFont="1" applyFill="1" applyBorder="1"/>
    <xf numFmtId="0" fontId="61" fillId="0" borderId="77" xfId="4" applyFont="1" applyBorder="1"/>
    <xf numFmtId="0" fontId="61" fillId="0" borderId="75" xfId="4" applyFont="1" applyBorder="1"/>
    <xf numFmtId="0" fontId="61" fillId="56" borderId="77" xfId="4" applyFont="1" applyFill="1" applyBorder="1"/>
    <xf numFmtId="0" fontId="61" fillId="111" borderId="75" xfId="4" applyFont="1" applyFill="1" applyBorder="1"/>
    <xf numFmtId="0" fontId="61" fillId="0" borderId="41" xfId="0" applyFont="1" applyBorder="1" applyAlignment="1">
      <alignment horizontal="right" vertical="top"/>
    </xf>
    <xf numFmtId="0" fontId="133" fillId="113" borderId="0" xfId="36131" applyFont="1" applyFill="1" applyAlignment="1">
      <alignment horizontal="center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61" fillId="0" borderId="74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B06-77A9-488A-99D2-EA9FB7D77942}">
  <dimension ref="A1:A5"/>
  <sheetViews>
    <sheetView workbookViewId="0">
      <selection activeCell="A2" sqref="A2"/>
    </sheetView>
  </sheetViews>
  <sheetFormatPr defaultRowHeight="12.75"/>
  <sheetData>
    <row r="1" spans="1:1">
      <c r="A1" t="s">
        <v>357</v>
      </c>
    </row>
    <row r="2" spans="1:1">
      <c r="A2" t="s">
        <v>353</v>
      </c>
    </row>
    <row r="3" spans="1:1">
      <c r="A3" t="s">
        <v>354</v>
      </c>
    </row>
    <row r="4" spans="1:1">
      <c r="A4" t="s">
        <v>355</v>
      </c>
    </row>
    <row r="5" spans="1:1">
      <c r="A5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9.140625" defaultRowHeight="12.75"/>
  <cols>
    <col min="2" max="2" width="24.28515625" customWidth="1"/>
    <col min="3" max="3" width="19.7109375" customWidth="1"/>
    <col min="4" max="6" width="17.5703125" style="51" customWidth="1"/>
    <col min="7" max="8" width="27.28515625" style="51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9.5703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0">
      <c r="A1" t="s">
        <v>236</v>
      </c>
      <c r="B1" t="s">
        <v>237</v>
      </c>
      <c r="L1" s="52"/>
      <c r="M1">
        <v>1000</v>
      </c>
    </row>
    <row r="2" spans="1:20" ht="15">
      <c r="A2" t="s">
        <v>238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.5" thickBot="1">
      <c r="S3" s="50"/>
    </row>
    <row r="4" spans="1:20" ht="15.75" thickBot="1">
      <c r="B4" s="56" t="s">
        <v>186</v>
      </c>
      <c r="C4" s="57" t="s">
        <v>187</v>
      </c>
      <c r="D4" s="58" t="s">
        <v>188</v>
      </c>
      <c r="E4" s="58" t="s">
        <v>189</v>
      </c>
      <c r="F4" s="115" t="s">
        <v>239</v>
      </c>
      <c r="G4" s="59" t="s">
        <v>190</v>
      </c>
      <c r="H4" s="115" t="s">
        <v>240</v>
      </c>
      <c r="I4" s="60" t="s">
        <v>191</v>
      </c>
      <c r="J4" s="61" t="s">
        <v>102</v>
      </c>
      <c r="K4" s="61" t="s">
        <v>192</v>
      </c>
      <c r="L4" s="61" t="s">
        <v>193</v>
      </c>
      <c r="M4" s="61" t="s">
        <v>194</v>
      </c>
      <c r="N4" s="61" t="s">
        <v>195</v>
      </c>
      <c r="O4" s="61" t="s">
        <v>196</v>
      </c>
      <c r="P4" s="61" t="s">
        <v>197</v>
      </c>
      <c r="Q4" s="61" t="s">
        <v>198</v>
      </c>
      <c r="R4" s="62" t="s">
        <v>199</v>
      </c>
      <c r="S4" s="63" t="s">
        <v>273</v>
      </c>
      <c r="T4" s="63" t="s">
        <v>200</v>
      </c>
    </row>
    <row r="5" spans="1:20" ht="13.5" thickBot="1">
      <c r="B5" s="287" t="s">
        <v>201</v>
      </c>
      <c r="C5" s="284" t="s">
        <v>202</v>
      </c>
      <c r="D5" s="64" t="s">
        <v>203</v>
      </c>
      <c r="E5" s="64" t="s">
        <v>204</v>
      </c>
      <c r="F5" s="91" t="s">
        <v>204</v>
      </c>
      <c r="G5" s="65" t="s">
        <v>155</v>
      </c>
      <c r="H5" s="65" t="s">
        <v>231</v>
      </c>
      <c r="I5" s="66" t="s">
        <v>205</v>
      </c>
      <c r="J5" s="67">
        <v>0.29574226589403763</v>
      </c>
      <c r="K5" s="67">
        <v>18.893708932999999</v>
      </c>
      <c r="L5" s="68">
        <v>31.679000000000002</v>
      </c>
      <c r="M5" s="69">
        <v>33.857253063779488</v>
      </c>
      <c r="N5" s="68">
        <v>2975.5793199999998</v>
      </c>
      <c r="O5" s="69">
        <v>10646.074081392662</v>
      </c>
      <c r="P5" s="69">
        <v>1.3836761070950265</v>
      </c>
      <c r="Q5" s="67">
        <v>107.11434086032901</v>
      </c>
      <c r="R5" s="111"/>
      <c r="S5" s="70">
        <v>0.25866952762433204</v>
      </c>
      <c r="T5" s="171">
        <v>0.74133047237566796</v>
      </c>
    </row>
    <row r="6" spans="1:20" ht="13.5" thickBot="1">
      <c r="B6" s="282"/>
      <c r="C6" s="285"/>
      <c r="D6" s="64" t="s">
        <v>203</v>
      </c>
      <c r="E6" s="71" t="s">
        <v>204</v>
      </c>
      <c r="F6" s="92" t="s">
        <v>204</v>
      </c>
      <c r="G6" s="72" t="s">
        <v>156</v>
      </c>
      <c r="H6" s="72" t="s">
        <v>232</v>
      </c>
      <c r="I6" s="73" t="s">
        <v>205</v>
      </c>
      <c r="J6" s="74">
        <v>0.27102281432564018</v>
      </c>
      <c r="K6" s="74">
        <v>19.957648846000001</v>
      </c>
      <c r="L6" s="75">
        <v>3.7709999999999999</v>
      </c>
      <c r="M6" s="76">
        <v>40.982161028207202</v>
      </c>
      <c r="N6" s="75">
        <v>283.06308000000001</v>
      </c>
      <c r="O6" s="76">
        <v>13321.218756893339</v>
      </c>
      <c r="P6" s="76">
        <v>1.3430866666666668</v>
      </c>
      <c r="Q6" s="74">
        <v>13.913017692117103</v>
      </c>
      <c r="R6" s="112"/>
      <c r="S6" s="77">
        <v>0.25866952762433204</v>
      </c>
      <c r="T6" s="171">
        <v>0.74133047237566796</v>
      </c>
    </row>
    <row r="7" spans="1:20" ht="13.5" thickBot="1">
      <c r="B7" s="282"/>
      <c r="C7" s="285"/>
      <c r="D7" s="64" t="s">
        <v>203</v>
      </c>
      <c r="E7" s="71" t="s">
        <v>206</v>
      </c>
      <c r="F7" s="92" t="s">
        <v>206</v>
      </c>
      <c r="G7" s="72" t="s">
        <v>154</v>
      </c>
      <c r="H7" s="72" t="s">
        <v>233</v>
      </c>
      <c r="I7" s="73" t="s">
        <v>205</v>
      </c>
      <c r="J7" s="74">
        <v>1.4079922210878586</v>
      </c>
      <c r="K7" s="74">
        <v>18.893708932999999</v>
      </c>
      <c r="L7" s="75">
        <v>6.5000000000000002E-2</v>
      </c>
      <c r="M7" s="76">
        <v>56.434273897483351</v>
      </c>
      <c r="N7" s="75">
        <v>8.4618599999999997</v>
      </c>
      <c r="O7" s="76">
        <v>7638.6716431139248</v>
      </c>
      <c r="P7" s="76">
        <v>1.3469862952194624</v>
      </c>
      <c r="Q7" s="74">
        <v>4.5907476662093459E-2</v>
      </c>
      <c r="R7" s="112"/>
      <c r="S7" s="77">
        <v>0.25866952762433204</v>
      </c>
      <c r="T7" s="171">
        <v>0.74133047237566796</v>
      </c>
    </row>
    <row r="8" spans="1:20" ht="13.5" thickBot="1">
      <c r="B8" s="282"/>
      <c r="C8" s="285"/>
      <c r="D8" s="64" t="s">
        <v>203</v>
      </c>
      <c r="E8" s="71" t="s">
        <v>207</v>
      </c>
      <c r="F8" s="92" t="s">
        <v>206</v>
      </c>
      <c r="G8" s="72" t="s">
        <v>154</v>
      </c>
      <c r="H8" s="72" t="s">
        <v>234</v>
      </c>
      <c r="I8" s="73" t="s">
        <v>205</v>
      </c>
      <c r="J8" s="74">
        <v>1.4079922210878586</v>
      </c>
      <c r="K8" s="74">
        <v>13.893708932999999</v>
      </c>
      <c r="L8" s="75">
        <v>0</v>
      </c>
      <c r="M8" s="76">
        <v>25.285083214393978</v>
      </c>
      <c r="N8" s="75">
        <v>0</v>
      </c>
      <c r="O8" s="76">
        <v>7638.6716431139248</v>
      </c>
      <c r="P8" s="76">
        <v>1.6192717698146617</v>
      </c>
      <c r="Q8" s="74">
        <v>0</v>
      </c>
      <c r="R8" s="112"/>
      <c r="S8" s="77">
        <v>0.25866952762433204</v>
      </c>
      <c r="T8" s="171">
        <v>0.74133047237566796</v>
      </c>
    </row>
    <row r="9" spans="1:20" ht="13.5" thickBot="1">
      <c r="B9" s="282"/>
      <c r="C9" s="285"/>
      <c r="D9" s="64" t="s">
        <v>203</v>
      </c>
      <c r="E9" s="71" t="s">
        <v>204</v>
      </c>
      <c r="F9" s="92" t="s">
        <v>204</v>
      </c>
      <c r="G9" s="72" t="s">
        <v>132</v>
      </c>
      <c r="H9" s="72" t="s">
        <v>132</v>
      </c>
      <c r="I9" s="73" t="s">
        <v>208</v>
      </c>
      <c r="J9" s="74">
        <v>0.3145699154482855</v>
      </c>
      <c r="K9" s="74">
        <v>18.893708932999999</v>
      </c>
      <c r="L9" s="75">
        <v>1.8000000000000002E-2</v>
      </c>
      <c r="M9" s="76">
        <v>36.679454380806774</v>
      </c>
      <c r="N9" s="75">
        <v>0.94355999999999995</v>
      </c>
      <c r="O9" s="76">
        <v>18696.81712874645</v>
      </c>
      <c r="P9" s="76">
        <v>1.3836761070950265</v>
      </c>
      <c r="Q9" s="74">
        <v>5.6081551043619199E-2</v>
      </c>
      <c r="R9" s="112"/>
      <c r="S9" s="77">
        <v>0.25866952762433204</v>
      </c>
      <c r="T9" s="171">
        <v>0.74133047237566796</v>
      </c>
    </row>
    <row r="10" spans="1:20" ht="13.5" thickBot="1">
      <c r="B10" s="282"/>
      <c r="C10" s="285"/>
      <c r="D10" s="64" t="s">
        <v>203</v>
      </c>
      <c r="E10" s="71" t="s">
        <v>209</v>
      </c>
      <c r="F10" s="92" t="s">
        <v>230</v>
      </c>
      <c r="G10" s="72" t="s">
        <v>155</v>
      </c>
      <c r="H10" s="72" t="s">
        <v>231</v>
      </c>
      <c r="I10" s="73" t="s">
        <v>208</v>
      </c>
      <c r="J10" s="74">
        <v>0.40973965605281193</v>
      </c>
      <c r="K10" s="74">
        <v>18.893708932999999</v>
      </c>
      <c r="L10" s="75">
        <v>0.47</v>
      </c>
      <c r="M10" s="76">
        <v>38.4943273070229</v>
      </c>
      <c r="N10" s="75">
        <v>30.96611</v>
      </c>
      <c r="O10" s="76">
        <v>15168.599356199406</v>
      </c>
      <c r="P10" s="76">
        <v>1.1330287043611558</v>
      </c>
      <c r="Q10" s="74">
        <v>1.1463682103287998</v>
      </c>
      <c r="R10" s="112"/>
      <c r="S10" s="77">
        <v>0.25866952762433204</v>
      </c>
      <c r="T10" s="171">
        <v>0.74133047237566796</v>
      </c>
    </row>
    <row r="11" spans="1:20" ht="13.5" thickBot="1">
      <c r="B11" s="282"/>
      <c r="C11" s="285"/>
      <c r="D11" s="64" t="s">
        <v>203</v>
      </c>
      <c r="E11" s="78" t="s">
        <v>210</v>
      </c>
      <c r="F11" s="116" t="s">
        <v>210</v>
      </c>
      <c r="G11" s="72" t="s">
        <v>155</v>
      </c>
      <c r="H11" s="117" t="s">
        <v>231</v>
      </c>
      <c r="I11" s="79" t="s">
        <v>208</v>
      </c>
      <c r="J11" s="74">
        <v>0.5642532734319301</v>
      </c>
      <c r="K11" s="74">
        <v>18.893708932999999</v>
      </c>
      <c r="L11" s="75">
        <v>3.0000000000000002E-2</v>
      </c>
      <c r="M11" s="76">
        <v>51.909674036494785</v>
      </c>
      <c r="N11" s="75">
        <v>2.6780299999999997</v>
      </c>
      <c r="O11" s="76">
        <v>11101.838511891205</v>
      </c>
      <c r="P11" s="76">
        <v>1.2151329648648723</v>
      </c>
      <c r="Q11" s="74">
        <v>5.2690977598000004E-2</v>
      </c>
      <c r="R11" s="77">
        <v>0.6</v>
      </c>
      <c r="S11" s="77">
        <v>0.25866952762433204</v>
      </c>
      <c r="T11" s="171">
        <v>0.74133047237566796</v>
      </c>
    </row>
    <row r="12" spans="1:20" ht="13.5" thickBot="1">
      <c r="B12" s="282"/>
      <c r="C12" s="286"/>
      <c r="D12" s="80" t="s">
        <v>203</v>
      </c>
      <c r="E12" s="81" t="s">
        <v>210</v>
      </c>
      <c r="F12" s="93" t="s">
        <v>210</v>
      </c>
      <c r="G12" s="82" t="s">
        <v>154</v>
      </c>
      <c r="H12" s="82"/>
      <c r="I12" s="83" t="s">
        <v>208</v>
      </c>
      <c r="J12" s="84">
        <v>1.0333422104936427</v>
      </c>
      <c r="K12" s="84">
        <v>18.893708932999999</v>
      </c>
      <c r="L12" s="85">
        <v>0</v>
      </c>
      <c r="M12" s="84">
        <v>0</v>
      </c>
      <c r="N12" s="85">
        <v>0</v>
      </c>
      <c r="O12" s="86">
        <v>0</v>
      </c>
      <c r="P12" s="86">
        <v>0</v>
      </c>
      <c r="Q12" s="84">
        <v>0</v>
      </c>
      <c r="R12" s="113"/>
      <c r="S12" s="87">
        <v>0.25866952762433204</v>
      </c>
      <c r="T12" s="171">
        <v>0.74133047237566796</v>
      </c>
    </row>
    <row r="13" spans="1:20">
      <c r="B13" s="282"/>
      <c r="C13" s="284" t="s">
        <v>211</v>
      </c>
      <c r="D13" s="64" t="s">
        <v>212</v>
      </c>
      <c r="E13" s="64" t="s">
        <v>204</v>
      </c>
      <c r="F13" s="91" t="s">
        <v>204</v>
      </c>
      <c r="G13" s="65" t="s">
        <v>155</v>
      </c>
      <c r="H13" s="65" t="s">
        <v>231</v>
      </c>
      <c r="I13" s="66" t="s">
        <v>205</v>
      </c>
      <c r="J13" s="67">
        <v>0.22446549570454616</v>
      </c>
      <c r="K13" s="67">
        <v>22.051404092999999</v>
      </c>
      <c r="L13" s="68">
        <v>1.5299999999999998</v>
      </c>
      <c r="M13" s="69">
        <v>33.896666666666661</v>
      </c>
      <c r="N13" s="68">
        <v>154.07906</v>
      </c>
      <c r="O13" s="69">
        <v>9928.1904973329929</v>
      </c>
      <c r="P13" s="69">
        <v>1.3430866666666668</v>
      </c>
      <c r="Q13" s="67">
        <v>6.8149728515223993</v>
      </c>
      <c r="R13" s="111"/>
      <c r="S13" s="70">
        <v>0.29420033050816774</v>
      </c>
      <c r="T13" s="171">
        <v>0.70579966949183226</v>
      </c>
    </row>
    <row r="14" spans="1:20">
      <c r="B14" s="282"/>
      <c r="C14" s="285"/>
      <c r="D14" s="71" t="s">
        <v>212</v>
      </c>
      <c r="E14" s="71" t="s">
        <v>204</v>
      </c>
      <c r="F14" s="71" t="s">
        <v>204</v>
      </c>
      <c r="G14" s="88" t="s">
        <v>156</v>
      </c>
      <c r="H14" s="72" t="s">
        <v>232</v>
      </c>
      <c r="I14" s="73" t="s">
        <v>205</v>
      </c>
      <c r="J14" s="74">
        <v>0.24232912878138677</v>
      </c>
      <c r="K14" s="74">
        <v>15.784552846</v>
      </c>
      <c r="L14" s="75">
        <v>7.4610000000000003</v>
      </c>
      <c r="M14" s="76">
        <v>50.400339083480681</v>
      </c>
      <c r="N14" s="75">
        <v>459.72533000000004</v>
      </c>
      <c r="O14" s="76">
        <v>16227.64354737643</v>
      </c>
      <c r="P14" s="76">
        <v>1.5396112737265695</v>
      </c>
      <c r="Q14" s="74">
        <v>30.785646044517208</v>
      </c>
      <c r="R14" s="112"/>
      <c r="S14" s="77">
        <v>0.29420033050816774</v>
      </c>
      <c r="T14" s="171">
        <v>0.70579966949183226</v>
      </c>
    </row>
    <row r="15" spans="1:20">
      <c r="B15" s="288"/>
      <c r="C15" s="279"/>
      <c r="D15" s="71" t="s">
        <v>212</v>
      </c>
      <c r="E15" s="71" t="s">
        <v>206</v>
      </c>
      <c r="F15" s="71" t="s">
        <v>206</v>
      </c>
      <c r="G15" s="88" t="s">
        <v>154</v>
      </c>
      <c r="H15" s="72" t="s">
        <v>233</v>
      </c>
      <c r="I15" s="73" t="s">
        <v>205</v>
      </c>
      <c r="J15" s="74">
        <v>1.3286632211786189</v>
      </c>
      <c r="K15" s="74">
        <v>22.051404092999999</v>
      </c>
      <c r="L15" s="75">
        <v>9.0000000000000011E-3</v>
      </c>
      <c r="M15" s="76">
        <v>70.708695652173915</v>
      </c>
      <c r="N15" s="75">
        <v>0.78132000000000001</v>
      </c>
      <c r="O15" s="76">
        <v>10630.718463625659</v>
      </c>
      <c r="P15" s="76">
        <v>1.709806221731488</v>
      </c>
      <c r="Q15" s="74">
        <v>6.251390734389406E-3</v>
      </c>
      <c r="R15" s="112"/>
      <c r="S15" s="77">
        <v>0.29420033050816774</v>
      </c>
      <c r="T15" s="171">
        <v>0.70579966949183226</v>
      </c>
    </row>
    <row r="16" spans="1:20">
      <c r="B16" s="288"/>
      <c r="C16" s="279"/>
      <c r="D16" s="71" t="s">
        <v>212</v>
      </c>
      <c r="E16" s="71" t="s">
        <v>204</v>
      </c>
      <c r="F16" s="71" t="s">
        <v>204</v>
      </c>
      <c r="G16" s="88" t="s">
        <v>132</v>
      </c>
      <c r="H16" s="72" t="s">
        <v>132</v>
      </c>
      <c r="I16" s="73" t="s">
        <v>208</v>
      </c>
      <c r="J16" s="74">
        <v>0.3145699154482855</v>
      </c>
      <c r="K16" s="74">
        <v>22.051404092999999</v>
      </c>
      <c r="L16" s="75">
        <v>4.0000000000000001E-3</v>
      </c>
      <c r="M16" s="76">
        <v>36.718867983693947</v>
      </c>
      <c r="N16" s="75">
        <v>0.31486000000000003</v>
      </c>
      <c r="O16" s="76">
        <v>10828.973607317539</v>
      </c>
      <c r="P16" s="76">
        <v>1.3430866666666668</v>
      </c>
      <c r="Q16" s="74">
        <v>1.083895967972987E-2</v>
      </c>
      <c r="R16" s="112"/>
      <c r="S16" s="77">
        <v>0.29420033050816774</v>
      </c>
      <c r="T16" s="171">
        <v>0.70579966949183226</v>
      </c>
    </row>
    <row r="17" spans="2:20" ht="13.5" thickBot="1">
      <c r="B17" s="288"/>
      <c r="C17" s="286"/>
      <c r="D17" s="81" t="s">
        <v>212</v>
      </c>
      <c r="E17" s="81" t="s">
        <v>209</v>
      </c>
      <c r="F17" s="81" t="s">
        <v>230</v>
      </c>
      <c r="G17" s="89" t="s">
        <v>155</v>
      </c>
      <c r="H17" s="82" t="s">
        <v>231</v>
      </c>
      <c r="I17" s="90" t="s">
        <v>208</v>
      </c>
      <c r="J17" s="84">
        <v>0.32080057540766083</v>
      </c>
      <c r="K17" s="84">
        <v>22.051404092999999</v>
      </c>
      <c r="L17" s="85">
        <v>1E-3</v>
      </c>
      <c r="M17" s="86">
        <v>38.539138979341075</v>
      </c>
      <c r="N17" s="85">
        <v>1.0290000000000001E-2</v>
      </c>
      <c r="O17" s="86">
        <v>16907.714285714286</v>
      </c>
      <c r="P17" s="86">
        <v>1.0997918790206931</v>
      </c>
      <c r="Q17" s="84">
        <v>5.4233188260000009E-4</v>
      </c>
      <c r="R17" s="113"/>
      <c r="S17" s="87">
        <v>0.29420033050816774</v>
      </c>
      <c r="T17" s="171">
        <v>0.70579966949183226</v>
      </c>
    </row>
    <row r="18" spans="2:20" ht="13.5" thickBot="1">
      <c r="B18" s="281" t="s">
        <v>213</v>
      </c>
      <c r="C18" s="284" t="s">
        <v>214</v>
      </c>
      <c r="D18" s="64" t="s">
        <v>215</v>
      </c>
      <c r="E18" s="64" t="s">
        <v>204</v>
      </c>
      <c r="F18" s="91" t="s">
        <v>204</v>
      </c>
      <c r="G18" s="91" t="s">
        <v>155</v>
      </c>
      <c r="H18" s="91" t="s">
        <v>231</v>
      </c>
      <c r="I18" s="66" t="s">
        <v>205</v>
      </c>
      <c r="J18" s="67">
        <v>0.13638221628825251</v>
      </c>
      <c r="K18" s="67">
        <v>34.774647887</v>
      </c>
      <c r="L18" s="68">
        <v>7.6544255399999999E-3</v>
      </c>
      <c r="M18" s="67">
        <v>100</v>
      </c>
      <c r="N18" s="68">
        <v>2.7080000000000002</v>
      </c>
      <c r="O18" s="233">
        <v>8479.7919571639595</v>
      </c>
      <c r="P18" s="69">
        <v>3.8</v>
      </c>
      <c r="Q18" s="231">
        <v>5.6124806799017574E-2</v>
      </c>
      <c r="R18" s="111"/>
      <c r="S18" s="70">
        <v>0.29551795164883077</v>
      </c>
      <c r="T18" s="171">
        <v>0.70448204835116923</v>
      </c>
    </row>
    <row r="19" spans="2:20" ht="13.5" thickBot="1">
      <c r="B19" s="282"/>
      <c r="C19" s="285"/>
      <c r="D19" s="71" t="s">
        <v>215</v>
      </c>
      <c r="E19" s="71" t="s">
        <v>204</v>
      </c>
      <c r="F19" s="91" t="s">
        <v>204</v>
      </c>
      <c r="G19" s="92" t="s">
        <v>156</v>
      </c>
      <c r="H19" s="92" t="s">
        <v>232</v>
      </c>
      <c r="I19" s="73" t="s">
        <v>205</v>
      </c>
      <c r="J19" s="74">
        <v>0.13187233674282225</v>
      </c>
      <c r="K19" s="74">
        <v>21.981385162999999</v>
      </c>
      <c r="L19" s="75">
        <v>0.83454407725000002</v>
      </c>
      <c r="M19" s="74">
        <v>100</v>
      </c>
      <c r="N19" s="75">
        <v>79.08</v>
      </c>
      <c r="O19" s="233">
        <v>31659.486997344462</v>
      </c>
      <c r="P19" s="76">
        <v>3.8</v>
      </c>
      <c r="Q19" s="231">
        <v>6.328424124898385</v>
      </c>
      <c r="R19" s="112"/>
      <c r="S19" s="77">
        <v>0.29551795164883077</v>
      </c>
      <c r="T19" s="171">
        <v>0.70448204835116923</v>
      </c>
    </row>
    <row r="20" spans="2:20" ht="13.5" thickBot="1">
      <c r="B20" s="282"/>
      <c r="C20" s="286"/>
      <c r="D20" s="81" t="s">
        <v>215</v>
      </c>
      <c r="E20" s="81" t="s">
        <v>206</v>
      </c>
      <c r="F20" s="93" t="s">
        <v>206</v>
      </c>
      <c r="G20" s="93" t="s">
        <v>154</v>
      </c>
      <c r="H20" s="93" t="s">
        <v>233</v>
      </c>
      <c r="I20" s="90" t="s">
        <v>208</v>
      </c>
      <c r="J20" s="84">
        <v>0.60056169190323494</v>
      </c>
      <c r="K20" s="84">
        <v>21.981385162999999</v>
      </c>
      <c r="L20" s="85">
        <v>4.062377E-5</v>
      </c>
      <c r="M20" s="84">
        <v>391</v>
      </c>
      <c r="N20" s="85">
        <v>2.5999999999999999E-2</v>
      </c>
      <c r="O20" s="233">
        <v>4687.3580769230766</v>
      </c>
      <c r="P20" s="86">
        <v>3.5</v>
      </c>
      <c r="Q20" s="231">
        <v>6.7642959162545911E-5</v>
      </c>
      <c r="R20" s="113"/>
      <c r="S20" s="87">
        <v>0.29551795164883077</v>
      </c>
      <c r="T20" s="171">
        <v>0.70448204835116923</v>
      </c>
    </row>
    <row r="21" spans="2:20" ht="14.25" customHeight="1" thickBot="1">
      <c r="B21" s="283"/>
      <c r="C21" s="94" t="s">
        <v>319</v>
      </c>
      <c r="D21" s="80" t="s">
        <v>217</v>
      </c>
      <c r="E21" s="80" t="s">
        <v>204</v>
      </c>
      <c r="F21" s="91" t="s">
        <v>204</v>
      </c>
      <c r="G21" s="95" t="s">
        <v>156</v>
      </c>
      <c r="H21" s="95" t="s">
        <v>232</v>
      </c>
      <c r="I21" s="58" t="s">
        <v>205</v>
      </c>
      <c r="J21" s="231">
        <v>5.6500000000000002E-2</v>
      </c>
      <c r="K21" s="231">
        <v>21.981385162999999</v>
      </c>
      <c r="L21" s="232">
        <v>0.68453212409913244</v>
      </c>
      <c r="M21" s="231">
        <v>200</v>
      </c>
      <c r="N21" s="232">
        <v>59</v>
      </c>
      <c r="O21" s="233">
        <v>11602.23939151072</v>
      </c>
      <c r="P21" s="103">
        <v>16.440000000000001</v>
      </c>
      <c r="Q21" s="231">
        <v>12.115612815913849</v>
      </c>
      <c r="R21" s="234"/>
      <c r="S21" s="235">
        <v>0.29551795164883077</v>
      </c>
      <c r="T21" s="171">
        <v>0.70448204835116923</v>
      </c>
    </row>
    <row r="22" spans="2:20" ht="13.5" thickBot="1">
      <c r="B22" s="229"/>
      <c r="C22" s="97" t="s">
        <v>320</v>
      </c>
      <c r="D22" s="98" t="s">
        <v>321</v>
      </c>
      <c r="E22" s="98" t="s">
        <v>204</v>
      </c>
      <c r="F22" s="91" t="s">
        <v>204</v>
      </c>
      <c r="G22" s="99" t="s">
        <v>156</v>
      </c>
      <c r="H22" s="99" t="s">
        <v>232</v>
      </c>
      <c r="I22" s="230" t="s">
        <v>205</v>
      </c>
      <c r="J22" s="231">
        <v>4.7E-2</v>
      </c>
      <c r="K22" s="231">
        <v>21.981385162999999</v>
      </c>
      <c r="L22" s="232">
        <v>1.5379655004445401</v>
      </c>
      <c r="M22" s="236">
        <v>300</v>
      </c>
      <c r="N22" s="237">
        <v>13.2</v>
      </c>
      <c r="O22" s="233">
        <v>116512.53791246517</v>
      </c>
      <c r="P22" s="244">
        <v>20</v>
      </c>
      <c r="Q22" s="231">
        <v>32.722670222224259</v>
      </c>
      <c r="R22" s="238"/>
      <c r="S22" s="235">
        <v>0.29551795164883077</v>
      </c>
      <c r="T22" s="171">
        <v>0.70448204835116923</v>
      </c>
    </row>
    <row r="23" spans="2:20" ht="13.5" thickBot="1">
      <c r="B23" s="281" t="s">
        <v>218</v>
      </c>
      <c r="C23" s="284" t="s">
        <v>219</v>
      </c>
      <c r="D23" s="64" t="s">
        <v>220</v>
      </c>
      <c r="E23" s="64" t="s">
        <v>204</v>
      </c>
      <c r="F23" s="91" t="s">
        <v>204</v>
      </c>
      <c r="G23" s="65" t="s">
        <v>155</v>
      </c>
      <c r="H23" s="65" t="s">
        <v>231</v>
      </c>
      <c r="I23" s="66" t="s">
        <v>205</v>
      </c>
      <c r="J23" s="67">
        <v>0.10878530623606167</v>
      </c>
      <c r="K23" s="67">
        <v>31</v>
      </c>
      <c r="L23" s="75">
        <v>2E-3</v>
      </c>
      <c r="M23" s="67">
        <v>0</v>
      </c>
      <c r="N23" s="68">
        <v>0.15787000000000001</v>
      </c>
      <c r="O23" s="69">
        <v>6450.3937416861972</v>
      </c>
      <c r="P23" s="69">
        <v>18.74419950494234</v>
      </c>
      <c r="Q23" s="67">
        <v>9.3608566747999996E-3</v>
      </c>
      <c r="R23" s="111"/>
      <c r="S23" s="70">
        <v>0.32435468707795845</v>
      </c>
      <c r="T23" s="171">
        <v>0.67564531292204155</v>
      </c>
    </row>
    <row r="24" spans="2:20">
      <c r="B24" s="282"/>
      <c r="C24" s="285"/>
      <c r="D24" s="71" t="s">
        <v>220</v>
      </c>
      <c r="E24" s="71" t="s">
        <v>204</v>
      </c>
      <c r="F24" s="91" t="s">
        <v>204</v>
      </c>
      <c r="G24" s="72" t="s">
        <v>156</v>
      </c>
      <c r="H24" s="72" t="s">
        <v>232</v>
      </c>
      <c r="I24" s="73" t="s">
        <v>205</v>
      </c>
      <c r="J24" s="74">
        <v>7.3200547754531456E-2</v>
      </c>
      <c r="K24" s="74">
        <v>26.248000000000001</v>
      </c>
      <c r="L24" s="75">
        <v>0.30599999999999999</v>
      </c>
      <c r="M24" s="74">
        <v>440</v>
      </c>
      <c r="N24" s="75">
        <v>10.997959999999999</v>
      </c>
      <c r="O24" s="76">
        <v>27792.509215345392</v>
      </c>
      <c r="P24" s="76">
        <v>18.74419950494234</v>
      </c>
      <c r="Q24" s="74">
        <v>4.1756641722817998</v>
      </c>
      <c r="R24" s="112"/>
      <c r="S24" s="77">
        <v>0.32435468707795845</v>
      </c>
      <c r="T24" s="171">
        <v>0.67564531292204155</v>
      </c>
    </row>
    <row r="25" spans="2:20" ht="13.5" thickBot="1">
      <c r="B25" s="283"/>
      <c r="C25" s="286"/>
      <c r="D25" s="81" t="s">
        <v>220</v>
      </c>
      <c r="E25" s="81" t="s">
        <v>206</v>
      </c>
      <c r="F25" s="93" t="s">
        <v>206</v>
      </c>
      <c r="G25" s="82" t="s">
        <v>154</v>
      </c>
      <c r="H25" s="82" t="s">
        <v>233</v>
      </c>
      <c r="I25" s="90" t="s">
        <v>205</v>
      </c>
      <c r="J25" s="84">
        <v>0.26548125081615598</v>
      </c>
      <c r="K25" s="84">
        <v>30</v>
      </c>
      <c r="L25" s="85">
        <v>3.0000000000000001E-3</v>
      </c>
      <c r="M25" s="84">
        <v>927.40800000000002</v>
      </c>
      <c r="N25" s="85">
        <v>8.6559999999999998E-2</v>
      </c>
      <c r="O25" s="86">
        <v>32808.629505545287</v>
      </c>
      <c r="P25" s="86">
        <v>17.224399545082154</v>
      </c>
      <c r="Q25" s="84">
        <v>1.0697233651225421E-2</v>
      </c>
      <c r="R25" s="113"/>
      <c r="S25" s="87">
        <v>0.32435468707795845</v>
      </c>
      <c r="T25" s="171">
        <v>0.67564531292204155</v>
      </c>
    </row>
    <row r="26" spans="2:20" ht="13.5" thickBot="1">
      <c r="B26" s="96" t="s">
        <v>168</v>
      </c>
      <c r="C26" s="97"/>
      <c r="D26" s="98" t="s">
        <v>221</v>
      </c>
      <c r="E26" s="98" t="s">
        <v>204</v>
      </c>
      <c r="F26" s="91" t="s">
        <v>204</v>
      </c>
      <c r="G26" s="99" t="s">
        <v>155</v>
      </c>
      <c r="H26" s="99" t="s">
        <v>231</v>
      </c>
      <c r="I26" s="100" t="s">
        <v>205</v>
      </c>
      <c r="J26" s="101">
        <v>0.58602989312730902</v>
      </c>
      <c r="K26" s="101">
        <v>12.147264359999999</v>
      </c>
      <c r="L26" s="102">
        <v>0.41899999999999998</v>
      </c>
      <c r="M26" s="101">
        <v>10</v>
      </c>
      <c r="N26" s="102">
        <v>173.91852</v>
      </c>
      <c r="O26" s="103">
        <v>2404.5819246276938</v>
      </c>
      <c r="P26" s="103">
        <v>0.5</v>
      </c>
      <c r="Q26" s="101">
        <v>0.71361774280539991</v>
      </c>
      <c r="R26" s="114"/>
      <c r="S26" s="104">
        <v>0.27605295776617755</v>
      </c>
      <c r="T26" s="171">
        <v>0.72394704223382245</v>
      </c>
    </row>
    <row r="27" spans="2:20">
      <c r="B27" s="274" t="s">
        <v>222</v>
      </c>
      <c r="C27" s="105" t="s">
        <v>223</v>
      </c>
      <c r="D27" s="64"/>
      <c r="E27" s="64"/>
      <c r="F27" s="91"/>
      <c r="G27" s="65" t="s">
        <v>224</v>
      </c>
      <c r="H27" s="65" t="s">
        <v>105</v>
      </c>
      <c r="I27" s="66" t="s">
        <v>205</v>
      </c>
      <c r="J27" s="67"/>
      <c r="K27" s="67"/>
      <c r="L27" s="67"/>
      <c r="M27" s="67"/>
      <c r="N27" s="67"/>
      <c r="O27" s="67"/>
      <c r="P27" s="67"/>
      <c r="Q27" s="67">
        <v>16.23163850531953</v>
      </c>
      <c r="R27" s="111"/>
      <c r="S27" s="70">
        <v>0.33999999999999997</v>
      </c>
      <c r="T27" s="171">
        <v>0.66</v>
      </c>
    </row>
    <row r="28" spans="2:20" ht="13.5" thickBot="1">
      <c r="B28" s="275"/>
      <c r="C28" s="106" t="s">
        <v>225</v>
      </c>
      <c r="D28" s="81"/>
      <c r="E28" s="81"/>
      <c r="F28" s="93"/>
      <c r="G28" s="82" t="s">
        <v>224</v>
      </c>
      <c r="H28" s="82" t="s">
        <v>105</v>
      </c>
      <c r="I28" s="90" t="s">
        <v>205</v>
      </c>
      <c r="J28" s="84"/>
      <c r="K28" s="84"/>
      <c r="L28" s="84"/>
      <c r="M28" s="84"/>
      <c r="N28" s="84"/>
      <c r="O28" s="84"/>
      <c r="P28" s="84"/>
      <c r="Q28" s="84">
        <v>57.145128994219554</v>
      </c>
      <c r="R28" s="113"/>
      <c r="S28" s="87">
        <v>0.19999999999999996</v>
      </c>
      <c r="T28" s="171">
        <v>0.8</v>
      </c>
    </row>
    <row r="29" spans="2:20">
      <c r="B29" s="274" t="s">
        <v>226</v>
      </c>
      <c r="C29" s="277" t="s">
        <v>202</v>
      </c>
      <c r="D29" s="64"/>
      <c r="E29" s="64"/>
      <c r="F29" s="91"/>
      <c r="G29" s="65" t="s">
        <v>156</v>
      </c>
      <c r="H29" s="65" t="s">
        <v>232</v>
      </c>
      <c r="I29" s="66" t="s">
        <v>205</v>
      </c>
      <c r="J29" s="67"/>
      <c r="K29" s="67"/>
      <c r="L29" s="67"/>
      <c r="M29" s="67"/>
      <c r="N29" s="67"/>
      <c r="O29" s="67"/>
      <c r="P29" s="67"/>
      <c r="Q29" s="67">
        <v>0.13344140266064158</v>
      </c>
      <c r="R29" s="111"/>
      <c r="S29" s="70">
        <v>0.25641025641025639</v>
      </c>
      <c r="T29" s="171">
        <v>0.74358974358974361</v>
      </c>
    </row>
    <row r="30" spans="2:20">
      <c r="B30" s="276"/>
      <c r="C30" s="278"/>
      <c r="D30" s="71"/>
      <c r="E30" s="71"/>
      <c r="F30" s="92"/>
      <c r="G30" s="72" t="s">
        <v>154</v>
      </c>
      <c r="H30" s="72" t="s">
        <v>84</v>
      </c>
      <c r="I30" s="73" t="s">
        <v>205</v>
      </c>
      <c r="J30" s="74"/>
      <c r="K30" s="74"/>
      <c r="L30" s="74"/>
      <c r="M30" s="74"/>
      <c r="N30" s="74"/>
      <c r="O30" s="74"/>
      <c r="P30" s="74"/>
      <c r="Q30" s="107">
        <v>0.21429400000000001</v>
      </c>
      <c r="R30" s="112"/>
      <c r="S30" s="77">
        <v>0</v>
      </c>
      <c r="T30" s="171">
        <v>1</v>
      </c>
    </row>
    <row r="31" spans="2:20">
      <c r="B31" s="276"/>
      <c r="C31" s="279" t="s">
        <v>227</v>
      </c>
      <c r="D31" s="71"/>
      <c r="E31" s="71"/>
      <c r="F31" s="92"/>
      <c r="G31" s="72" t="s">
        <v>156</v>
      </c>
      <c r="H31" s="72" t="s">
        <v>232</v>
      </c>
      <c r="I31" s="73" t="s">
        <v>205</v>
      </c>
      <c r="J31" s="74"/>
      <c r="K31" s="74"/>
      <c r="L31" s="74"/>
      <c r="M31" s="74"/>
      <c r="N31" s="74"/>
      <c r="O31" s="74"/>
      <c r="P31" s="74"/>
      <c r="Q31" s="107">
        <v>1.5216156755530919</v>
      </c>
      <c r="R31" s="112"/>
      <c r="S31" s="77">
        <v>0.25641025641025639</v>
      </c>
      <c r="T31" s="171">
        <v>0.74358974358974361</v>
      </c>
    </row>
    <row r="32" spans="2:20" ht="13.5" thickBot="1">
      <c r="B32" s="275"/>
      <c r="C32" s="280"/>
      <c r="D32" s="81"/>
      <c r="E32" s="81"/>
      <c r="F32" s="93"/>
      <c r="G32" s="82" t="s">
        <v>154</v>
      </c>
      <c r="H32" s="82" t="s">
        <v>84</v>
      </c>
      <c r="I32" s="90" t="s">
        <v>205</v>
      </c>
      <c r="J32" s="84"/>
      <c r="K32" s="84"/>
      <c r="L32" s="84"/>
      <c r="M32" s="84"/>
      <c r="N32" s="84"/>
      <c r="O32" s="84"/>
      <c r="P32" s="84"/>
      <c r="Q32" s="108">
        <v>5.6542000000000002E-2</v>
      </c>
      <c r="R32" s="113"/>
      <c r="S32" s="87">
        <v>0.25641025641025639</v>
      </c>
      <c r="T32" s="171">
        <v>0.74358974358974361</v>
      </c>
    </row>
    <row r="33" spans="2:20" ht="15.75" thickBot="1">
      <c r="B33" s="274" t="s">
        <v>166</v>
      </c>
      <c r="C33" s="105" t="s">
        <v>223</v>
      </c>
      <c r="D33" s="64"/>
      <c r="E33" s="64"/>
      <c r="F33" s="91"/>
      <c r="G33" s="65" t="s">
        <v>157</v>
      </c>
      <c r="H33" s="65" t="s">
        <v>106</v>
      </c>
      <c r="I33" s="66" t="s">
        <v>205</v>
      </c>
      <c r="J33" s="67"/>
      <c r="K33" s="67"/>
      <c r="L33" s="67"/>
      <c r="M33" s="67"/>
      <c r="N33" s="67"/>
      <c r="O33" s="67"/>
      <c r="P33" s="67"/>
      <c r="Q33" s="67">
        <v>3.6186409269341855</v>
      </c>
      <c r="R33" s="111"/>
      <c r="S33" s="172">
        <v>0.66399999999999992</v>
      </c>
      <c r="T33" s="173">
        <v>0.33600000000000002</v>
      </c>
    </row>
    <row r="34" spans="2:20" ht="13.5" thickBot="1">
      <c r="B34" s="275"/>
      <c r="C34" s="106" t="s">
        <v>228</v>
      </c>
      <c r="D34" s="81"/>
      <c r="E34" s="81"/>
      <c r="F34" s="93"/>
      <c r="G34" s="82" t="s">
        <v>157</v>
      </c>
      <c r="H34" s="82" t="s">
        <v>106</v>
      </c>
      <c r="I34" s="90" t="s">
        <v>205</v>
      </c>
      <c r="J34" s="84"/>
      <c r="K34" s="84"/>
      <c r="L34" s="84"/>
      <c r="M34" s="84"/>
      <c r="N34" s="84"/>
      <c r="O34" s="84"/>
      <c r="P34" s="84"/>
      <c r="Q34" s="108">
        <v>13.286203471697528</v>
      </c>
      <c r="R34" s="113"/>
      <c r="S34" s="109">
        <v>0.21799999999999997</v>
      </c>
      <c r="T34" s="173">
        <v>0.78200000000000003</v>
      </c>
    </row>
    <row r="35" spans="2:20">
      <c r="I35" s="110"/>
    </row>
  </sheetData>
  <mergeCells count="12">
    <mergeCell ref="B23:B25"/>
    <mergeCell ref="C23:C25"/>
    <mergeCell ref="B5:B17"/>
    <mergeCell ref="C5:C12"/>
    <mergeCell ref="C13:C17"/>
    <mergeCell ref="B18:B21"/>
    <mergeCell ref="C18:C20"/>
    <mergeCell ref="B27:B28"/>
    <mergeCell ref="B29:B32"/>
    <mergeCell ref="C29:C30"/>
    <mergeCell ref="C31:C32"/>
    <mergeCell ref="B33:B3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G49" sqref="G49"/>
    </sheetView>
  </sheetViews>
  <sheetFormatPr defaultColWidth="9.140625" defaultRowHeight="15"/>
  <cols>
    <col min="1" max="1" width="37" style="175" customWidth="1"/>
    <col min="2" max="2" width="15.28515625" style="175" customWidth="1"/>
    <col min="3" max="16" width="9.140625" style="175"/>
    <col min="17" max="17" width="19.85546875" style="175" customWidth="1"/>
    <col min="18" max="18" width="15.140625" style="175" customWidth="1"/>
    <col min="19" max="16384" width="9.140625" style="175"/>
  </cols>
  <sheetData>
    <row r="1" spans="1:31">
      <c r="A1" s="174" t="s">
        <v>274</v>
      </c>
      <c r="B1" s="239" t="s">
        <v>274</v>
      </c>
      <c r="C1" s="222" t="s">
        <v>275</v>
      </c>
      <c r="D1" s="222">
        <v>2015</v>
      </c>
      <c r="E1" s="222">
        <v>2016</v>
      </c>
      <c r="F1" s="222">
        <v>2018</v>
      </c>
      <c r="G1" s="222">
        <v>2021</v>
      </c>
      <c r="H1" s="222">
        <v>2025</v>
      </c>
      <c r="I1" s="222">
        <v>2030</v>
      </c>
      <c r="J1" s="222">
        <v>2035</v>
      </c>
      <c r="K1" s="222">
        <v>2040</v>
      </c>
      <c r="L1" s="222">
        <v>2045</v>
      </c>
      <c r="M1" s="222">
        <v>2050</v>
      </c>
      <c r="N1" s="222">
        <v>2055</v>
      </c>
      <c r="O1" s="222">
        <v>2060</v>
      </c>
      <c r="P1" s="240"/>
      <c r="Q1" s="240"/>
      <c r="R1" s="241" t="s">
        <v>276</v>
      </c>
      <c r="S1" s="223" t="s">
        <v>275</v>
      </c>
      <c r="T1" s="223">
        <v>2015</v>
      </c>
      <c r="U1" s="223">
        <v>2016</v>
      </c>
      <c r="V1" s="223">
        <v>2018</v>
      </c>
      <c r="W1" s="223">
        <v>2021</v>
      </c>
      <c r="X1" s="223">
        <v>2025</v>
      </c>
      <c r="Y1" s="223">
        <v>2030</v>
      </c>
      <c r="Z1" s="223">
        <v>2035</v>
      </c>
      <c r="AA1" s="223">
        <v>2040</v>
      </c>
      <c r="AB1" s="223">
        <v>2045</v>
      </c>
      <c r="AC1" s="223">
        <v>2050</v>
      </c>
      <c r="AD1" s="223">
        <v>2055</v>
      </c>
      <c r="AE1" s="223">
        <v>2060</v>
      </c>
    </row>
    <row r="2" spans="1:31">
      <c r="A2" s="176" t="s">
        <v>277</v>
      </c>
      <c r="B2" s="242" t="s">
        <v>277</v>
      </c>
      <c r="C2" s="242" t="s">
        <v>91</v>
      </c>
      <c r="D2" s="221">
        <v>24.17</v>
      </c>
      <c r="E2" s="221">
        <v>25.19</v>
      </c>
      <c r="F2" s="221">
        <v>26.5</v>
      </c>
      <c r="G2" s="221">
        <v>28.37</v>
      </c>
      <c r="H2" s="221">
        <v>30.96</v>
      </c>
      <c r="I2" s="221">
        <v>34.549999999999997</v>
      </c>
      <c r="J2" s="221">
        <v>37.83</v>
      </c>
      <c r="K2" s="221">
        <v>40.08</v>
      </c>
      <c r="L2" s="221">
        <v>42.65</v>
      </c>
      <c r="M2" s="221">
        <v>45.41</v>
      </c>
      <c r="N2" s="221">
        <v>47.82</v>
      </c>
      <c r="O2" s="221">
        <v>50.05</v>
      </c>
      <c r="P2" s="220"/>
      <c r="Q2" s="220"/>
      <c r="R2" s="221" t="s">
        <v>277</v>
      </c>
      <c r="S2" s="221" t="s">
        <v>91</v>
      </c>
      <c r="T2" s="221">
        <v>8.43</v>
      </c>
      <c r="U2" s="221">
        <v>8.7899999999999991</v>
      </c>
      <c r="V2" s="221">
        <v>9.24</v>
      </c>
      <c r="W2" s="221">
        <v>9.9</v>
      </c>
      <c r="X2" s="221">
        <v>10.8</v>
      </c>
      <c r="Y2" s="221">
        <v>12.05</v>
      </c>
      <c r="Z2" s="221">
        <v>13.2</v>
      </c>
      <c r="AA2" s="221">
        <v>13.98</v>
      </c>
      <c r="AB2" s="221">
        <v>14.88</v>
      </c>
      <c r="AC2" s="221">
        <v>15.84</v>
      </c>
      <c r="AD2" s="221">
        <v>16.68</v>
      </c>
      <c r="AE2" s="221">
        <v>17.46</v>
      </c>
    </row>
    <row r="3" spans="1:31">
      <c r="A3" s="175" t="s">
        <v>278</v>
      </c>
      <c r="B3" s="240" t="s">
        <v>278</v>
      </c>
      <c r="C3" s="240" t="s">
        <v>91</v>
      </c>
      <c r="D3" s="220">
        <v>5.12</v>
      </c>
      <c r="E3" s="220">
        <v>5.53</v>
      </c>
      <c r="F3" s="220">
        <v>6.45</v>
      </c>
      <c r="G3" s="220">
        <v>7.08</v>
      </c>
      <c r="H3" s="220">
        <v>7.94</v>
      </c>
      <c r="I3" s="220">
        <v>9.18</v>
      </c>
      <c r="J3" s="220">
        <v>10.45</v>
      </c>
      <c r="K3" s="220">
        <v>11.56</v>
      </c>
      <c r="L3" s="220">
        <v>12.85</v>
      </c>
      <c r="M3" s="220">
        <v>14.25</v>
      </c>
      <c r="N3" s="220">
        <v>15.58</v>
      </c>
      <c r="O3" s="220">
        <v>16.82</v>
      </c>
      <c r="P3" s="220"/>
      <c r="Q3" s="220"/>
      <c r="R3" s="220" t="s">
        <v>278</v>
      </c>
      <c r="S3" s="220" t="s">
        <v>91</v>
      </c>
      <c r="T3" s="220">
        <v>2.13</v>
      </c>
      <c r="U3" s="220">
        <v>2.2999999999999998</v>
      </c>
      <c r="V3" s="220">
        <v>2.69</v>
      </c>
      <c r="W3" s="220">
        <v>2.95</v>
      </c>
      <c r="X3" s="220">
        <v>3.31</v>
      </c>
      <c r="Y3" s="220">
        <v>3.83</v>
      </c>
      <c r="Z3" s="220">
        <v>4.3600000000000003</v>
      </c>
      <c r="AA3" s="220">
        <v>4.82</v>
      </c>
      <c r="AB3" s="220">
        <v>5.36</v>
      </c>
      <c r="AC3" s="220">
        <v>5.94</v>
      </c>
      <c r="AD3" s="220">
        <v>6.49</v>
      </c>
      <c r="AE3" s="220">
        <v>7.01</v>
      </c>
    </row>
    <row r="4" spans="1:31">
      <c r="A4" s="176" t="s">
        <v>279</v>
      </c>
      <c r="B4" s="242" t="s">
        <v>279</v>
      </c>
      <c r="C4" s="242" t="s">
        <v>91</v>
      </c>
      <c r="D4" s="221">
        <v>0.55000000000000004</v>
      </c>
      <c r="E4" s="221">
        <v>0.56999999999999995</v>
      </c>
      <c r="F4" s="221">
        <v>0.6</v>
      </c>
      <c r="G4" s="221">
        <v>0.64</v>
      </c>
      <c r="H4" s="221">
        <v>0.68</v>
      </c>
      <c r="I4" s="221">
        <v>0.73</v>
      </c>
      <c r="J4" s="221">
        <v>0.77</v>
      </c>
      <c r="K4" s="221">
        <v>0.78</v>
      </c>
      <c r="L4" s="221">
        <v>0.79</v>
      </c>
      <c r="M4" s="221">
        <v>0.81</v>
      </c>
      <c r="N4" s="221">
        <v>0.81</v>
      </c>
      <c r="O4" s="221">
        <v>0.81</v>
      </c>
      <c r="P4" s="220"/>
      <c r="Q4" s="220"/>
      <c r="R4" s="221" t="s">
        <v>279</v>
      </c>
      <c r="S4" s="221" t="s">
        <v>91</v>
      </c>
      <c r="T4" s="221">
        <v>0.23</v>
      </c>
      <c r="U4" s="221">
        <v>0.24</v>
      </c>
      <c r="V4" s="221">
        <v>0.25</v>
      </c>
      <c r="W4" s="221">
        <v>0.27</v>
      </c>
      <c r="X4" s="221">
        <v>0.28999999999999998</v>
      </c>
      <c r="Y4" s="221">
        <v>0.31</v>
      </c>
      <c r="Z4" s="221">
        <v>0.32</v>
      </c>
      <c r="AA4" s="221">
        <v>0.33</v>
      </c>
      <c r="AB4" s="221">
        <v>0.33</v>
      </c>
      <c r="AC4" s="221">
        <v>0.34</v>
      </c>
      <c r="AD4" s="221">
        <v>0.34</v>
      </c>
      <c r="AE4" s="221">
        <v>0.34</v>
      </c>
    </row>
    <row r="5" spans="1:31">
      <c r="A5" s="175" t="s">
        <v>280</v>
      </c>
      <c r="B5" s="240" t="s">
        <v>280</v>
      </c>
      <c r="C5" s="240" t="s">
        <v>91</v>
      </c>
      <c r="D5" s="220">
        <v>0.42523616734143049</v>
      </c>
      <c r="E5" s="220">
        <v>0.43756185335132702</v>
      </c>
      <c r="F5" s="220">
        <v>0.46221322537112014</v>
      </c>
      <c r="G5" s="220">
        <v>0.49302744039586149</v>
      </c>
      <c r="H5" s="220">
        <v>0.52384165542060279</v>
      </c>
      <c r="I5" s="220">
        <v>0.56390013495276659</v>
      </c>
      <c r="J5" s="220">
        <v>0.59163292847503379</v>
      </c>
      <c r="K5" s="220">
        <v>0.60087719298245612</v>
      </c>
      <c r="L5" s="220">
        <v>0.61320287899235271</v>
      </c>
      <c r="M5" s="220">
        <v>0.62244714349977515</v>
      </c>
      <c r="N5" s="220">
        <v>0.62552856500224918</v>
      </c>
      <c r="O5" s="220">
        <v>0.62552856500224918</v>
      </c>
      <c r="P5" s="220"/>
      <c r="Q5" s="220"/>
      <c r="R5" s="220" t="s">
        <v>280</v>
      </c>
      <c r="S5" s="220" t="s">
        <v>91</v>
      </c>
      <c r="T5" s="220">
        <v>0.17872244714349977</v>
      </c>
      <c r="U5" s="220">
        <v>0.18488529014844804</v>
      </c>
      <c r="V5" s="220">
        <v>0.19412955465587045</v>
      </c>
      <c r="W5" s="220">
        <v>0.20645524066576701</v>
      </c>
      <c r="X5" s="220">
        <v>0.22186234817813766</v>
      </c>
      <c r="Y5" s="220">
        <v>0.23726945569050834</v>
      </c>
      <c r="Z5" s="220">
        <v>0.24959514170040489</v>
      </c>
      <c r="AA5" s="220">
        <v>0.25267656320287901</v>
      </c>
      <c r="AB5" s="220">
        <v>0.25575798470535316</v>
      </c>
      <c r="AC5" s="220">
        <v>0.2619208277103014</v>
      </c>
      <c r="AD5" s="220">
        <v>0.2619208277103014</v>
      </c>
      <c r="AE5" s="220">
        <v>0.2619208277103014</v>
      </c>
    </row>
    <row r="6" spans="1:31">
      <c r="A6" s="176" t="s">
        <v>221</v>
      </c>
      <c r="B6" s="243" t="s">
        <v>321</v>
      </c>
      <c r="C6" s="240" t="s">
        <v>91</v>
      </c>
      <c r="D6" s="220">
        <v>0.95476383265856957</v>
      </c>
      <c r="E6" s="220">
        <v>0.98243814664867302</v>
      </c>
      <c r="F6" s="220">
        <v>1.03778677462888</v>
      </c>
      <c r="G6" s="220">
        <v>1.1069725596041387</v>
      </c>
      <c r="H6" s="220">
        <v>1.1761583445793973</v>
      </c>
      <c r="I6" s="220">
        <v>1.2660998650472337</v>
      </c>
      <c r="J6" s="220">
        <v>1.3283670715249665</v>
      </c>
      <c r="K6" s="220">
        <v>1.3491228070175441</v>
      </c>
      <c r="L6" s="220">
        <v>1.3767971210076475</v>
      </c>
      <c r="M6" s="220">
        <v>1.3975528565002251</v>
      </c>
      <c r="N6" s="220">
        <v>1.4044714349977507</v>
      </c>
      <c r="O6" s="220">
        <v>1.4044714349977507</v>
      </c>
      <c r="P6" s="220"/>
      <c r="Q6" s="220"/>
      <c r="R6" s="243" t="s">
        <v>321</v>
      </c>
      <c r="S6" s="220" t="s">
        <v>91</v>
      </c>
      <c r="T6" s="220">
        <v>0.40127755285650024</v>
      </c>
      <c r="U6" s="220">
        <v>0.41511470985155202</v>
      </c>
      <c r="V6" s="220">
        <v>0.43587044534412961</v>
      </c>
      <c r="W6" s="220">
        <v>0.46354475933423311</v>
      </c>
      <c r="X6" s="220">
        <v>0.49813765182186237</v>
      </c>
      <c r="Y6" s="220">
        <v>0.53273054430949174</v>
      </c>
      <c r="Z6" s="220">
        <v>0.5604048582995953</v>
      </c>
      <c r="AA6" s="220">
        <v>0.56732343679712105</v>
      </c>
      <c r="AB6" s="220">
        <v>0.57424201529464691</v>
      </c>
      <c r="AC6" s="220">
        <v>0.58807917228969864</v>
      </c>
      <c r="AD6" s="220">
        <v>0.58807917228969864</v>
      </c>
      <c r="AE6" s="220">
        <v>0.58807917228969864</v>
      </c>
    </row>
    <row r="7" spans="1:31">
      <c r="A7" s="175" t="s">
        <v>220</v>
      </c>
      <c r="B7" s="242" t="s">
        <v>221</v>
      </c>
      <c r="C7" s="242" t="s">
        <v>91</v>
      </c>
      <c r="D7" s="221">
        <v>0.28999999999999998</v>
      </c>
      <c r="E7" s="221">
        <v>0.3</v>
      </c>
      <c r="F7" s="221">
        <v>0.3</v>
      </c>
      <c r="G7" s="221">
        <v>0.32</v>
      </c>
      <c r="H7" s="221">
        <v>0.34</v>
      </c>
      <c r="I7" s="221">
        <v>0.36</v>
      </c>
      <c r="J7" s="221">
        <v>0.37</v>
      </c>
      <c r="K7" s="221">
        <v>0.36</v>
      </c>
      <c r="L7" s="221">
        <v>0.36</v>
      </c>
      <c r="M7" s="221">
        <v>0.38</v>
      </c>
      <c r="N7" s="221">
        <v>0.38</v>
      </c>
      <c r="O7" s="221">
        <v>0.39</v>
      </c>
      <c r="P7" s="220"/>
      <c r="Q7" s="220"/>
      <c r="R7" s="221" t="s">
        <v>221</v>
      </c>
      <c r="S7" s="221" t="s">
        <v>91</v>
      </c>
      <c r="T7" s="221">
        <v>0.11</v>
      </c>
      <c r="U7" s="221">
        <v>0.12</v>
      </c>
      <c r="V7" s="221">
        <v>0.11</v>
      </c>
      <c r="W7" s="221">
        <v>0.12</v>
      </c>
      <c r="X7" s="221">
        <v>0.13</v>
      </c>
      <c r="Y7" s="221">
        <v>0.14000000000000001</v>
      </c>
      <c r="Z7" s="221">
        <v>0.14000000000000001</v>
      </c>
      <c r="AA7" s="221">
        <v>0.14000000000000001</v>
      </c>
      <c r="AB7" s="221">
        <v>0.14000000000000001</v>
      </c>
      <c r="AC7" s="221">
        <v>0.14000000000000001</v>
      </c>
      <c r="AD7" s="221">
        <v>0.15</v>
      </c>
      <c r="AE7" s="221">
        <v>0.15</v>
      </c>
    </row>
    <row r="8" spans="1:31">
      <c r="A8" s="176" t="s">
        <v>281</v>
      </c>
      <c r="B8" s="240" t="s">
        <v>220</v>
      </c>
      <c r="C8" s="240" t="s">
        <v>91</v>
      </c>
      <c r="D8" s="220">
        <v>0.18</v>
      </c>
      <c r="E8" s="220">
        <v>0.19</v>
      </c>
      <c r="F8" s="220">
        <v>0.21</v>
      </c>
      <c r="G8" s="220">
        <v>0.24</v>
      </c>
      <c r="H8" s="220">
        <v>0.27</v>
      </c>
      <c r="I8" s="220">
        <v>0.32</v>
      </c>
      <c r="J8" s="220">
        <v>0.37</v>
      </c>
      <c r="K8" s="220">
        <v>0.42</v>
      </c>
      <c r="L8" s="220">
        <v>0.47</v>
      </c>
      <c r="M8" s="220">
        <v>0.52</v>
      </c>
      <c r="N8" s="220">
        <v>0.57999999999999996</v>
      </c>
      <c r="O8" s="220">
        <v>0.63</v>
      </c>
      <c r="P8" s="220"/>
      <c r="Q8" s="220"/>
      <c r="R8" s="220" t="s">
        <v>220</v>
      </c>
      <c r="S8" s="220" t="s">
        <v>91</v>
      </c>
      <c r="T8" s="220">
        <v>0.09</v>
      </c>
      <c r="U8" s="220">
        <v>0.09</v>
      </c>
      <c r="V8" s="220">
        <v>0.1</v>
      </c>
      <c r="W8" s="220">
        <v>0.11</v>
      </c>
      <c r="X8" s="220">
        <v>0.13</v>
      </c>
      <c r="Y8" s="220">
        <v>0.15</v>
      </c>
      <c r="Z8" s="220">
        <v>0.18</v>
      </c>
      <c r="AA8" s="220">
        <v>0.2</v>
      </c>
      <c r="AB8" s="220">
        <v>0.22</v>
      </c>
      <c r="AC8" s="220">
        <v>0.25</v>
      </c>
      <c r="AD8" s="220">
        <v>0.28000000000000003</v>
      </c>
      <c r="AE8" s="220">
        <v>0.3</v>
      </c>
    </row>
    <row r="9" spans="1:31">
      <c r="A9" s="175" t="s">
        <v>282</v>
      </c>
      <c r="B9" s="242" t="s">
        <v>281</v>
      </c>
      <c r="C9" s="242" t="s">
        <v>40</v>
      </c>
      <c r="D9" s="221">
        <v>2</v>
      </c>
      <c r="E9" s="221">
        <v>1.4</v>
      </c>
      <c r="F9" s="221">
        <v>1.22</v>
      </c>
      <c r="G9" s="221">
        <v>1.23</v>
      </c>
      <c r="H9" s="221">
        <v>1.29</v>
      </c>
      <c r="I9" s="221">
        <v>1.39</v>
      </c>
      <c r="J9" s="221">
        <v>1.49</v>
      </c>
      <c r="K9" s="221">
        <v>1.59</v>
      </c>
      <c r="L9" s="221">
        <v>1.68</v>
      </c>
      <c r="M9" s="221">
        <v>1.75</v>
      </c>
      <c r="N9" s="221">
        <v>1.82</v>
      </c>
      <c r="O9" s="221">
        <v>1.89</v>
      </c>
      <c r="P9" s="220"/>
      <c r="Q9" s="220"/>
      <c r="R9" s="221" t="s">
        <v>281</v>
      </c>
      <c r="S9" s="221" t="s">
        <v>40</v>
      </c>
      <c r="T9" s="221">
        <v>3.86</v>
      </c>
      <c r="U9" s="221">
        <v>2.71</v>
      </c>
      <c r="V9" s="221">
        <v>2.4</v>
      </c>
      <c r="W9" s="221">
        <v>2.4900000000000002</v>
      </c>
      <c r="X9" s="221">
        <v>2.59</v>
      </c>
      <c r="Y9" s="221">
        <v>2.68</v>
      </c>
      <c r="Z9" s="221">
        <v>2.78</v>
      </c>
      <c r="AA9" s="221">
        <v>2.89</v>
      </c>
      <c r="AB9" s="221">
        <v>3</v>
      </c>
      <c r="AC9" s="221">
        <v>3.11</v>
      </c>
      <c r="AD9" s="221">
        <v>3.22</v>
      </c>
      <c r="AE9" s="221">
        <v>3.34</v>
      </c>
    </row>
    <row r="10" spans="1:31">
      <c r="A10" s="176" t="s">
        <v>283</v>
      </c>
      <c r="B10" s="240" t="s">
        <v>282</v>
      </c>
      <c r="C10" s="240" t="s">
        <v>40</v>
      </c>
      <c r="D10" s="220">
        <v>9.6999999999999993</v>
      </c>
      <c r="E10" s="220">
        <v>8.8000000000000007</v>
      </c>
      <c r="F10" s="220">
        <v>9.18</v>
      </c>
      <c r="G10" s="220">
        <v>9.76</v>
      </c>
      <c r="H10" s="220">
        <v>10.68</v>
      </c>
      <c r="I10" s="220">
        <v>12.03</v>
      </c>
      <c r="J10" s="220">
        <v>13.76</v>
      </c>
      <c r="K10" s="220">
        <v>14.85</v>
      </c>
      <c r="L10" s="220">
        <v>15.95</v>
      </c>
      <c r="M10" s="220">
        <v>16.8</v>
      </c>
      <c r="N10" s="220">
        <v>17.690000000000001</v>
      </c>
      <c r="O10" s="220">
        <v>18.63</v>
      </c>
      <c r="P10" s="220"/>
      <c r="Q10" s="220"/>
      <c r="R10" s="220" t="s">
        <v>282</v>
      </c>
      <c r="S10" s="220" t="s">
        <v>40</v>
      </c>
      <c r="T10" s="220">
        <v>2.71</v>
      </c>
      <c r="U10" s="220">
        <v>2.46</v>
      </c>
      <c r="V10" s="220">
        <v>2.56</v>
      </c>
      <c r="W10" s="220">
        <v>2.73</v>
      </c>
      <c r="X10" s="220">
        <v>2.98</v>
      </c>
      <c r="Y10" s="220">
        <v>3.36</v>
      </c>
      <c r="Z10" s="220">
        <v>3.84</v>
      </c>
      <c r="AA10" s="220">
        <v>4.1500000000000004</v>
      </c>
      <c r="AB10" s="220">
        <v>4.45</v>
      </c>
      <c r="AC10" s="220">
        <v>4.6900000000000004</v>
      </c>
      <c r="AD10" s="220">
        <v>4.9400000000000004</v>
      </c>
      <c r="AE10" s="220">
        <v>5.2</v>
      </c>
    </row>
    <row r="11" spans="1:31">
      <c r="A11" s="175" t="s">
        <v>284</v>
      </c>
      <c r="B11" s="242" t="s">
        <v>283</v>
      </c>
      <c r="C11" s="242" t="s">
        <v>40</v>
      </c>
      <c r="D11" s="221">
        <v>8.19</v>
      </c>
      <c r="E11" s="221">
        <v>8.9600000000000009</v>
      </c>
      <c r="F11" s="221">
        <v>10.71</v>
      </c>
      <c r="G11" s="221">
        <v>11.6</v>
      </c>
      <c r="H11" s="221">
        <v>13.23</v>
      </c>
      <c r="I11" s="221">
        <v>15.55</v>
      </c>
      <c r="J11" s="221">
        <v>18.12</v>
      </c>
      <c r="K11" s="221">
        <v>19.97</v>
      </c>
      <c r="L11" s="221">
        <v>22.05</v>
      </c>
      <c r="M11" s="221">
        <v>24.35</v>
      </c>
      <c r="N11" s="221">
        <v>25.42</v>
      </c>
      <c r="O11" s="221">
        <v>26.53</v>
      </c>
      <c r="P11" s="220"/>
      <c r="Q11" s="220"/>
      <c r="R11" s="221" t="s">
        <v>283</v>
      </c>
      <c r="S11" s="221" t="s">
        <v>40</v>
      </c>
      <c r="T11" s="221">
        <v>4.22</v>
      </c>
      <c r="U11" s="221">
        <v>4.62</v>
      </c>
      <c r="V11" s="221">
        <v>5.52</v>
      </c>
      <c r="W11" s="221">
        <v>5.97</v>
      </c>
      <c r="X11" s="221">
        <v>6.82</v>
      </c>
      <c r="Y11" s="221">
        <v>8.01</v>
      </c>
      <c r="Z11" s="221">
        <v>9.33</v>
      </c>
      <c r="AA11" s="221">
        <v>10.29</v>
      </c>
      <c r="AB11" s="221">
        <v>11.36</v>
      </c>
      <c r="AC11" s="221">
        <v>12.54</v>
      </c>
      <c r="AD11" s="221">
        <v>13.09</v>
      </c>
      <c r="AE11" s="221">
        <v>13.67</v>
      </c>
    </row>
    <row r="12" spans="1:31">
      <c r="A12" s="176" t="s">
        <v>285</v>
      </c>
      <c r="B12" s="240" t="s">
        <v>284</v>
      </c>
      <c r="C12" s="240" t="s">
        <v>40</v>
      </c>
      <c r="D12" s="220">
        <v>32.29</v>
      </c>
      <c r="E12" s="220">
        <v>38.85</v>
      </c>
      <c r="F12" s="220">
        <v>45.72</v>
      </c>
      <c r="G12" s="220">
        <v>49.43</v>
      </c>
      <c r="H12" s="220">
        <v>56.09</v>
      </c>
      <c r="I12" s="220">
        <v>66.39</v>
      </c>
      <c r="J12" s="220">
        <v>78.2</v>
      </c>
      <c r="K12" s="220">
        <v>86.85</v>
      </c>
      <c r="L12" s="220">
        <v>96.66</v>
      </c>
      <c r="M12" s="220">
        <v>107.57</v>
      </c>
      <c r="N12" s="220">
        <v>112.82</v>
      </c>
      <c r="O12" s="220">
        <v>118.33</v>
      </c>
      <c r="P12" s="220"/>
      <c r="Q12" s="220"/>
      <c r="R12" s="220" t="s">
        <v>284</v>
      </c>
      <c r="S12" s="220" t="s">
        <v>40</v>
      </c>
      <c r="T12" s="220">
        <v>8.07</v>
      </c>
      <c r="U12" s="220">
        <v>9.7100000000000009</v>
      </c>
      <c r="V12" s="220">
        <v>11.43</v>
      </c>
      <c r="W12" s="220">
        <v>12.36</v>
      </c>
      <c r="X12" s="220">
        <v>14.02</v>
      </c>
      <c r="Y12" s="220">
        <v>16.600000000000001</v>
      </c>
      <c r="Z12" s="220">
        <v>19.55</v>
      </c>
      <c r="AA12" s="220">
        <v>21.71</v>
      </c>
      <c r="AB12" s="220">
        <v>24.16</v>
      </c>
      <c r="AC12" s="220">
        <v>26.89</v>
      </c>
      <c r="AD12" s="220">
        <v>28.21</v>
      </c>
      <c r="AE12" s="220">
        <v>29.58</v>
      </c>
    </row>
    <row r="13" spans="1:31">
      <c r="A13" s="175" t="s">
        <v>286</v>
      </c>
      <c r="B13" s="242" t="s">
        <v>285</v>
      </c>
      <c r="C13" s="242" t="s">
        <v>40</v>
      </c>
      <c r="D13" s="221">
        <v>1.37</v>
      </c>
      <c r="E13" s="221">
        <v>1.27</v>
      </c>
      <c r="F13" s="221">
        <v>1.17</v>
      </c>
      <c r="G13" s="221">
        <v>1.25</v>
      </c>
      <c r="H13" s="221">
        <v>1.32</v>
      </c>
      <c r="I13" s="221">
        <v>1.4</v>
      </c>
      <c r="J13" s="221">
        <v>1.46</v>
      </c>
      <c r="K13" s="221">
        <v>1.5</v>
      </c>
      <c r="L13" s="221">
        <v>1.54</v>
      </c>
      <c r="M13" s="221">
        <v>1.59</v>
      </c>
      <c r="N13" s="221">
        <v>1.63</v>
      </c>
      <c r="O13" s="221">
        <v>1.68</v>
      </c>
      <c r="P13" s="220"/>
      <c r="Q13" s="220"/>
      <c r="R13" s="221" t="s">
        <v>285</v>
      </c>
      <c r="S13" s="221" t="s">
        <v>40</v>
      </c>
      <c r="T13" s="221">
        <v>0.48</v>
      </c>
      <c r="U13" s="221">
        <v>0.45</v>
      </c>
      <c r="V13" s="221">
        <v>0.41</v>
      </c>
      <c r="W13" s="221">
        <v>0.4</v>
      </c>
      <c r="X13" s="221">
        <v>0.41</v>
      </c>
      <c r="Y13" s="221">
        <v>0.44</v>
      </c>
      <c r="Z13" s="221">
        <v>0.46</v>
      </c>
      <c r="AA13" s="221">
        <v>0.48</v>
      </c>
      <c r="AB13" s="221">
        <v>0.49</v>
      </c>
      <c r="AC13" s="221">
        <v>0.5</v>
      </c>
      <c r="AD13" s="221">
        <v>0.5</v>
      </c>
      <c r="AE13" s="221">
        <v>0.51</v>
      </c>
    </row>
    <row r="14" spans="1:31">
      <c r="A14" s="176"/>
      <c r="B14" s="240" t="s">
        <v>286</v>
      </c>
      <c r="C14" s="240" t="s">
        <v>40</v>
      </c>
      <c r="D14" s="220">
        <v>0.22600000000000001</v>
      </c>
      <c r="E14" s="220">
        <v>0.23599999999999999</v>
      </c>
      <c r="F14" s="220">
        <v>0.25600000000000001</v>
      </c>
      <c r="G14" s="220">
        <v>0.25600000000000001</v>
      </c>
      <c r="H14" s="220">
        <v>0.43</v>
      </c>
      <c r="I14" s="220">
        <v>0.63</v>
      </c>
      <c r="J14" s="220">
        <v>0.91</v>
      </c>
      <c r="K14" s="220">
        <v>1.1000000000000001</v>
      </c>
      <c r="L14" s="220">
        <v>1.21</v>
      </c>
      <c r="M14" s="220">
        <v>1.32</v>
      </c>
      <c r="N14" s="220">
        <v>1.45</v>
      </c>
      <c r="O14" s="220">
        <v>1.59</v>
      </c>
      <c r="P14" s="220"/>
      <c r="Q14" s="220"/>
      <c r="R14" s="220" t="s">
        <v>286</v>
      </c>
      <c r="S14" s="220" t="s">
        <v>40</v>
      </c>
      <c r="T14" s="220">
        <v>0.03</v>
      </c>
      <c r="U14" s="220">
        <v>0.02</v>
      </c>
      <c r="V14" s="220">
        <v>0.01</v>
      </c>
      <c r="W14" s="220">
        <v>0.01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0">
        <v>0</v>
      </c>
      <c r="AE14" s="220">
        <v>0</v>
      </c>
    </row>
    <row r="15" spans="1:31">
      <c r="A15" s="174" t="s">
        <v>274</v>
      </c>
      <c r="B15" s="242"/>
      <c r="C15" s="24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0"/>
      <c r="Q15" s="220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1:31">
      <c r="A16" s="176" t="s">
        <v>277</v>
      </c>
      <c r="B16" s="239" t="s">
        <v>274</v>
      </c>
      <c r="C16" s="222" t="s">
        <v>287</v>
      </c>
      <c r="D16" s="222">
        <v>2015</v>
      </c>
      <c r="E16" s="222">
        <v>2016</v>
      </c>
      <c r="F16" s="222">
        <v>2018</v>
      </c>
      <c r="G16" s="222">
        <v>2021</v>
      </c>
      <c r="H16" s="222">
        <v>2025</v>
      </c>
      <c r="I16" s="222">
        <v>2030</v>
      </c>
      <c r="J16" s="222">
        <v>2035</v>
      </c>
      <c r="K16" s="222">
        <v>2040</v>
      </c>
      <c r="L16" s="222">
        <v>2045</v>
      </c>
      <c r="M16" s="222">
        <v>2050</v>
      </c>
      <c r="N16" s="222">
        <v>2055</v>
      </c>
      <c r="O16" s="222">
        <v>2060</v>
      </c>
      <c r="P16" s="220"/>
      <c r="Q16" s="220"/>
      <c r="R16" s="224" t="s">
        <v>276</v>
      </c>
      <c r="S16" s="225" t="s">
        <v>287</v>
      </c>
      <c r="T16" s="223">
        <v>2015</v>
      </c>
      <c r="U16" s="223">
        <v>2016</v>
      </c>
      <c r="V16" s="223">
        <v>2018</v>
      </c>
      <c r="W16" s="223">
        <v>2021</v>
      </c>
      <c r="X16" s="223">
        <v>2025</v>
      </c>
      <c r="Y16" s="223">
        <v>2030</v>
      </c>
      <c r="Z16" s="223">
        <v>2035</v>
      </c>
      <c r="AA16" s="223">
        <v>2040</v>
      </c>
      <c r="AB16" s="223">
        <v>2045</v>
      </c>
      <c r="AC16" s="223">
        <v>2050</v>
      </c>
      <c r="AD16" s="223">
        <v>2055</v>
      </c>
      <c r="AE16" s="223">
        <v>2060</v>
      </c>
    </row>
    <row r="17" spans="1:31">
      <c r="A17" s="175" t="s">
        <v>278</v>
      </c>
      <c r="B17" s="242" t="s">
        <v>277</v>
      </c>
      <c r="C17" s="242" t="s">
        <v>91</v>
      </c>
      <c r="D17" s="221">
        <v>24.17</v>
      </c>
      <c r="E17" s="221">
        <v>25.19</v>
      </c>
      <c r="F17" s="221">
        <v>26.5</v>
      </c>
      <c r="G17" s="221">
        <v>26.42</v>
      </c>
      <c r="H17" s="221">
        <v>26.64</v>
      </c>
      <c r="I17" s="221">
        <v>27.36</v>
      </c>
      <c r="J17" s="221">
        <v>28.07</v>
      </c>
      <c r="K17" s="221">
        <v>29.04</v>
      </c>
      <c r="L17" s="221">
        <v>29.98</v>
      </c>
      <c r="M17" s="221">
        <v>31.13</v>
      </c>
      <c r="N17" s="221">
        <v>33.11</v>
      </c>
      <c r="O17" s="221">
        <v>35.08</v>
      </c>
      <c r="P17" s="220"/>
      <c r="Q17" s="220"/>
      <c r="R17" s="221" t="s">
        <v>277</v>
      </c>
      <c r="S17" s="221" t="s">
        <v>91</v>
      </c>
      <c r="T17" s="221">
        <v>8.43</v>
      </c>
      <c r="U17" s="221">
        <v>8.7899999999999991</v>
      </c>
      <c r="V17" s="221">
        <v>9.24</v>
      </c>
      <c r="W17" s="221">
        <v>9.2200000000000006</v>
      </c>
      <c r="X17" s="221">
        <v>9.2899999999999991</v>
      </c>
      <c r="Y17" s="221">
        <v>9.5500000000000007</v>
      </c>
      <c r="Z17" s="221">
        <v>9.7899999999999991</v>
      </c>
      <c r="AA17" s="221">
        <v>10.130000000000001</v>
      </c>
      <c r="AB17" s="221">
        <v>10.46</v>
      </c>
      <c r="AC17" s="221">
        <v>10.86</v>
      </c>
      <c r="AD17" s="221">
        <v>11.55</v>
      </c>
      <c r="AE17" s="221">
        <v>12.24</v>
      </c>
    </row>
    <row r="18" spans="1:31">
      <c r="A18" s="176" t="s">
        <v>279</v>
      </c>
      <c r="B18" s="240" t="s">
        <v>278</v>
      </c>
      <c r="C18" s="240" t="s">
        <v>91</v>
      </c>
      <c r="D18" s="220">
        <v>5.12</v>
      </c>
      <c r="E18" s="220">
        <v>5.53</v>
      </c>
      <c r="F18" s="220">
        <v>6.45</v>
      </c>
      <c r="G18" s="220">
        <v>6.74</v>
      </c>
      <c r="H18" s="220">
        <v>7.03</v>
      </c>
      <c r="I18" s="220">
        <v>7.45</v>
      </c>
      <c r="J18" s="220">
        <v>7.89</v>
      </c>
      <c r="K18" s="220">
        <v>8.43</v>
      </c>
      <c r="L18" s="220">
        <v>9.01</v>
      </c>
      <c r="M18" s="220">
        <v>9.66</v>
      </c>
      <c r="N18" s="220">
        <v>10.58</v>
      </c>
      <c r="O18" s="220">
        <v>11.51</v>
      </c>
      <c r="P18" s="220"/>
      <c r="Q18" s="220"/>
      <c r="R18" s="220" t="s">
        <v>278</v>
      </c>
      <c r="S18" s="220" t="s">
        <v>91</v>
      </c>
      <c r="T18" s="220">
        <v>2.13</v>
      </c>
      <c r="U18" s="220">
        <v>2.2999999999999998</v>
      </c>
      <c r="V18" s="220">
        <v>2.69</v>
      </c>
      <c r="W18" s="220">
        <v>2.81</v>
      </c>
      <c r="X18" s="220">
        <v>2.93</v>
      </c>
      <c r="Y18" s="220">
        <v>3.11</v>
      </c>
      <c r="Z18" s="220">
        <v>3.29</v>
      </c>
      <c r="AA18" s="220">
        <v>3.52</v>
      </c>
      <c r="AB18" s="220">
        <v>3.75</v>
      </c>
      <c r="AC18" s="220">
        <v>4.03</v>
      </c>
      <c r="AD18" s="220">
        <v>4.41</v>
      </c>
      <c r="AE18" s="220">
        <v>4.8</v>
      </c>
    </row>
    <row r="19" spans="1:31">
      <c r="A19" s="175" t="s">
        <v>280</v>
      </c>
      <c r="B19" s="242" t="s">
        <v>279</v>
      </c>
      <c r="C19" s="242" t="s">
        <v>91</v>
      </c>
      <c r="D19" s="221">
        <v>0.55000000000000004</v>
      </c>
      <c r="E19" s="221">
        <v>0.56999999999999995</v>
      </c>
      <c r="F19" s="221">
        <v>0.6</v>
      </c>
      <c r="G19" s="221">
        <v>0.63</v>
      </c>
      <c r="H19" s="221">
        <v>0.65</v>
      </c>
      <c r="I19" s="221">
        <v>0.66</v>
      </c>
      <c r="J19" s="221">
        <v>0.67</v>
      </c>
      <c r="K19" s="221">
        <v>0.67</v>
      </c>
      <c r="L19" s="221">
        <v>0.68</v>
      </c>
      <c r="M19" s="221">
        <v>0.69</v>
      </c>
      <c r="N19" s="221">
        <v>0.72</v>
      </c>
      <c r="O19" s="221">
        <v>0.75</v>
      </c>
      <c r="P19" s="220"/>
      <c r="Q19" s="220"/>
      <c r="R19" s="221" t="s">
        <v>279</v>
      </c>
      <c r="S19" s="221" t="s">
        <v>91</v>
      </c>
      <c r="T19" s="221">
        <v>0.23</v>
      </c>
      <c r="U19" s="221">
        <v>0.24</v>
      </c>
      <c r="V19" s="221">
        <v>0.25</v>
      </c>
      <c r="W19" s="221">
        <v>0.27</v>
      </c>
      <c r="X19" s="221">
        <v>0.27</v>
      </c>
      <c r="Y19" s="221">
        <v>0.28000000000000003</v>
      </c>
      <c r="Z19" s="221">
        <v>0.28000000000000003</v>
      </c>
      <c r="AA19" s="221">
        <v>0.28000000000000003</v>
      </c>
      <c r="AB19" s="221">
        <v>0.28000000000000003</v>
      </c>
      <c r="AC19" s="221">
        <v>0.28999999999999998</v>
      </c>
      <c r="AD19" s="221">
        <v>0.3</v>
      </c>
      <c r="AE19" s="221">
        <v>0.31</v>
      </c>
    </row>
    <row r="20" spans="1:31">
      <c r="A20" s="176" t="s">
        <v>221</v>
      </c>
      <c r="B20" s="240" t="s">
        <v>280</v>
      </c>
      <c r="C20" s="240" t="s">
        <v>91</v>
      </c>
      <c r="D20" s="220">
        <v>1.38</v>
      </c>
      <c r="E20" s="220">
        <v>1.42</v>
      </c>
      <c r="F20" s="220">
        <v>1.5</v>
      </c>
      <c r="G20" s="220">
        <v>1.58</v>
      </c>
      <c r="H20" s="220">
        <v>1.62</v>
      </c>
      <c r="I20" s="220">
        <v>1.66</v>
      </c>
      <c r="J20" s="220">
        <v>1.67</v>
      </c>
      <c r="K20" s="220">
        <v>1.69</v>
      </c>
      <c r="L20" s="220">
        <v>1.7</v>
      </c>
      <c r="M20" s="220">
        <v>1.73</v>
      </c>
      <c r="N20" s="220">
        <v>1.8</v>
      </c>
      <c r="O20" s="220">
        <v>1.87</v>
      </c>
      <c r="P20" s="220"/>
      <c r="Q20" s="220"/>
      <c r="R20" s="220" t="s">
        <v>280</v>
      </c>
      <c r="S20" s="220" t="s">
        <v>91</v>
      </c>
      <c r="T20" s="220">
        <v>0.17872244714349977</v>
      </c>
      <c r="U20" s="220">
        <v>0.18488529014844804</v>
      </c>
      <c r="V20" s="220">
        <v>0.19412955465587045</v>
      </c>
      <c r="W20" s="220">
        <v>0.20337381916329286</v>
      </c>
      <c r="X20" s="220">
        <v>0.20953666216824116</v>
      </c>
      <c r="Y20" s="220">
        <v>0.21261808367071525</v>
      </c>
      <c r="Z20" s="220">
        <v>0.21569950517318939</v>
      </c>
      <c r="AA20" s="220">
        <v>0.21878092667566351</v>
      </c>
      <c r="AB20" s="220">
        <v>0.21878092667566351</v>
      </c>
      <c r="AC20" s="220">
        <v>0.2249437696806118</v>
      </c>
      <c r="AD20" s="220">
        <v>0.23418803418803422</v>
      </c>
      <c r="AE20" s="220">
        <v>0.24035087719298248</v>
      </c>
    </row>
    <row r="21" spans="1:31">
      <c r="A21" s="175" t="s">
        <v>220</v>
      </c>
      <c r="B21" s="243" t="s">
        <v>321</v>
      </c>
      <c r="C21" s="220" t="s">
        <v>91</v>
      </c>
      <c r="D21" s="220">
        <v>0.42523616734143049</v>
      </c>
      <c r="E21" s="220">
        <v>0.43756185335132702</v>
      </c>
      <c r="F21" s="220">
        <v>0.46221322537112014</v>
      </c>
      <c r="G21" s="220">
        <v>0.48686459739091326</v>
      </c>
      <c r="H21" s="220">
        <v>0.49919028340080979</v>
      </c>
      <c r="I21" s="220">
        <v>0.51151596941070632</v>
      </c>
      <c r="J21" s="220">
        <v>0.51459739091318035</v>
      </c>
      <c r="K21" s="220">
        <v>0.52076023391812865</v>
      </c>
      <c r="L21" s="220">
        <v>0.52384165542060279</v>
      </c>
      <c r="M21" s="220">
        <v>0.53308591992802523</v>
      </c>
      <c r="N21" s="220">
        <v>0.55465587044534415</v>
      </c>
      <c r="O21" s="220">
        <v>0.57622582096266317</v>
      </c>
      <c r="P21" s="220"/>
      <c r="Q21" s="220"/>
      <c r="R21" s="243" t="s">
        <v>321</v>
      </c>
      <c r="S21" s="220" t="s">
        <v>91</v>
      </c>
      <c r="T21" s="220">
        <v>0.40127755285650024</v>
      </c>
      <c r="U21" s="220">
        <v>0.41511470985155202</v>
      </c>
      <c r="V21" s="220">
        <v>0.43587044534412961</v>
      </c>
      <c r="W21" s="220">
        <v>0.45662618083670725</v>
      </c>
      <c r="X21" s="220">
        <v>0.47046333783175898</v>
      </c>
      <c r="Y21" s="220">
        <v>0.47738191632928478</v>
      </c>
      <c r="Z21" s="220">
        <v>0.48430049482681065</v>
      </c>
      <c r="AA21" s="220">
        <v>0.49121907332433651</v>
      </c>
      <c r="AB21" s="220">
        <v>0.49121907332433651</v>
      </c>
      <c r="AC21" s="220">
        <v>0.50505623031938829</v>
      </c>
      <c r="AD21" s="220">
        <v>0.52581196581196588</v>
      </c>
      <c r="AE21" s="220">
        <v>0.5396491228070176</v>
      </c>
    </row>
    <row r="22" spans="1:31">
      <c r="A22" s="176" t="s">
        <v>281</v>
      </c>
      <c r="B22" s="242" t="s">
        <v>221</v>
      </c>
      <c r="C22" s="242" t="s">
        <v>91</v>
      </c>
      <c r="D22" s="221">
        <v>0.95476383265856957</v>
      </c>
      <c r="E22" s="221">
        <v>0.98243814664867302</v>
      </c>
      <c r="F22" s="221">
        <v>1.03778677462888</v>
      </c>
      <c r="G22" s="221">
        <v>1.0931354026090869</v>
      </c>
      <c r="H22" s="221">
        <v>1.1208097165991906</v>
      </c>
      <c r="I22" s="221">
        <v>1.1484840305892938</v>
      </c>
      <c r="J22" s="221">
        <v>1.1554026090868197</v>
      </c>
      <c r="K22" s="221">
        <v>1.1692397660818714</v>
      </c>
      <c r="L22" s="221">
        <v>1.1761583445793973</v>
      </c>
      <c r="M22" s="221">
        <v>1.1969140800719749</v>
      </c>
      <c r="N22" s="221">
        <v>1.2453441295546561</v>
      </c>
      <c r="O22" s="221">
        <v>1.2937741790373372</v>
      </c>
      <c r="P22" s="220"/>
      <c r="Q22" s="220"/>
      <c r="R22" s="221" t="s">
        <v>221</v>
      </c>
      <c r="S22" s="221" t="s">
        <v>91</v>
      </c>
      <c r="T22" s="221">
        <v>0.11</v>
      </c>
      <c r="U22" s="221">
        <v>0.12</v>
      </c>
      <c r="V22" s="221">
        <v>0.11</v>
      </c>
      <c r="W22" s="221">
        <v>0.12</v>
      </c>
      <c r="X22" s="221">
        <v>0.12</v>
      </c>
      <c r="Y22" s="221">
        <v>0.12</v>
      </c>
      <c r="Z22" s="221">
        <v>0.12</v>
      </c>
      <c r="AA22" s="221">
        <v>0.12</v>
      </c>
      <c r="AB22" s="221">
        <v>0.12</v>
      </c>
      <c r="AC22" s="221">
        <v>0.12</v>
      </c>
      <c r="AD22" s="221">
        <v>0.13</v>
      </c>
      <c r="AE22" s="221">
        <v>0.13</v>
      </c>
    </row>
    <row r="23" spans="1:31">
      <c r="A23" s="175" t="s">
        <v>282</v>
      </c>
      <c r="B23" s="240" t="s">
        <v>220</v>
      </c>
      <c r="C23" s="240" t="s">
        <v>91</v>
      </c>
      <c r="D23" s="220">
        <v>0.18</v>
      </c>
      <c r="E23" s="220">
        <v>0.19</v>
      </c>
      <c r="F23" s="220">
        <v>0.21</v>
      </c>
      <c r="G23" s="220">
        <v>0.32</v>
      </c>
      <c r="H23" s="220">
        <v>0.38</v>
      </c>
      <c r="I23" s="220">
        <v>0.42</v>
      </c>
      <c r="J23" s="220">
        <v>0.46</v>
      </c>
      <c r="K23" s="220">
        <v>0.5</v>
      </c>
      <c r="L23" s="220">
        <v>0.55000000000000004</v>
      </c>
      <c r="M23" s="220">
        <v>0.61</v>
      </c>
      <c r="N23" s="220">
        <v>0.69</v>
      </c>
      <c r="O23" s="220">
        <v>0.77</v>
      </c>
      <c r="P23" s="220"/>
      <c r="Q23" s="220"/>
      <c r="R23" s="220" t="s">
        <v>220</v>
      </c>
      <c r="S23" s="220" t="s">
        <v>91</v>
      </c>
      <c r="T23" s="220">
        <v>0.09</v>
      </c>
      <c r="U23" s="220">
        <v>0.09</v>
      </c>
      <c r="V23" s="220">
        <v>0.1</v>
      </c>
      <c r="W23" s="220">
        <v>0.15</v>
      </c>
      <c r="X23" s="220">
        <v>0.18</v>
      </c>
      <c r="Y23" s="220">
        <v>0.2</v>
      </c>
      <c r="Z23" s="220">
        <v>0.22</v>
      </c>
      <c r="AA23" s="220">
        <v>0.24</v>
      </c>
      <c r="AB23" s="220">
        <v>0.26</v>
      </c>
      <c r="AC23" s="220">
        <v>0.28999999999999998</v>
      </c>
      <c r="AD23" s="220">
        <v>0.33</v>
      </c>
      <c r="AE23" s="220">
        <v>0.37</v>
      </c>
    </row>
    <row r="24" spans="1:31">
      <c r="A24" s="176" t="s">
        <v>283</v>
      </c>
      <c r="B24" s="242" t="s">
        <v>281</v>
      </c>
      <c r="C24" s="242" t="s">
        <v>40</v>
      </c>
      <c r="D24" s="221">
        <v>2</v>
      </c>
      <c r="E24" s="221">
        <v>1.4</v>
      </c>
      <c r="F24" s="221">
        <v>1.22</v>
      </c>
      <c r="G24" s="221">
        <v>1.21</v>
      </c>
      <c r="H24" s="221">
        <v>1.24</v>
      </c>
      <c r="I24" s="221">
        <v>1.29</v>
      </c>
      <c r="J24" s="221">
        <v>1.36</v>
      </c>
      <c r="K24" s="221">
        <v>1.45</v>
      </c>
      <c r="L24" s="221">
        <v>1.54</v>
      </c>
      <c r="M24" s="221">
        <v>1.64</v>
      </c>
      <c r="N24" s="221">
        <v>1.73</v>
      </c>
      <c r="O24" s="221">
        <v>1.83</v>
      </c>
      <c r="P24" s="220"/>
      <c r="Q24" s="220"/>
      <c r="R24" s="221" t="s">
        <v>281</v>
      </c>
      <c r="S24" s="221" t="s">
        <v>40</v>
      </c>
      <c r="T24" s="221">
        <v>3.86</v>
      </c>
      <c r="U24" s="221">
        <v>2.71</v>
      </c>
      <c r="V24" s="221">
        <v>2.4</v>
      </c>
      <c r="W24" s="221">
        <v>2.5</v>
      </c>
      <c r="X24" s="221">
        <v>2.58</v>
      </c>
      <c r="Y24" s="221">
        <v>2.66</v>
      </c>
      <c r="Z24" s="221">
        <v>2.77</v>
      </c>
      <c r="AA24" s="221">
        <v>2.91</v>
      </c>
      <c r="AB24" s="221">
        <v>3.02</v>
      </c>
      <c r="AC24" s="221">
        <v>3.1</v>
      </c>
      <c r="AD24" s="221">
        <v>3.19</v>
      </c>
      <c r="AE24" s="221">
        <v>3.28</v>
      </c>
    </row>
    <row r="25" spans="1:31">
      <c r="A25" s="175" t="s">
        <v>284</v>
      </c>
      <c r="B25" s="240" t="s">
        <v>282</v>
      </c>
      <c r="C25" s="240" t="s">
        <v>40</v>
      </c>
      <c r="D25" s="220">
        <v>9.6999999999999993</v>
      </c>
      <c r="E25" s="220">
        <v>8.8000000000000007</v>
      </c>
      <c r="F25" s="220">
        <v>9.18</v>
      </c>
      <c r="G25" s="220">
        <v>8.8699999999999992</v>
      </c>
      <c r="H25" s="220">
        <v>8.43</v>
      </c>
      <c r="I25" s="220">
        <v>8.07</v>
      </c>
      <c r="J25" s="220">
        <v>8.32</v>
      </c>
      <c r="K25" s="220">
        <v>8.7100000000000009</v>
      </c>
      <c r="L25" s="220">
        <v>9.66</v>
      </c>
      <c r="M25" s="220">
        <v>10.72</v>
      </c>
      <c r="N25" s="220">
        <v>11.89</v>
      </c>
      <c r="O25" s="220">
        <v>13.18</v>
      </c>
      <c r="P25" s="220"/>
      <c r="Q25" s="220"/>
      <c r="R25" s="220" t="s">
        <v>282</v>
      </c>
      <c r="S25" s="220" t="s">
        <v>40</v>
      </c>
      <c r="T25" s="220">
        <v>2.71</v>
      </c>
      <c r="U25" s="220">
        <v>2.46</v>
      </c>
      <c r="V25" s="220">
        <v>2.56</v>
      </c>
      <c r="W25" s="220">
        <v>2.48</v>
      </c>
      <c r="X25" s="220">
        <v>2.35</v>
      </c>
      <c r="Y25" s="220">
        <v>2.25</v>
      </c>
      <c r="Z25" s="220">
        <v>2.3199999999999998</v>
      </c>
      <c r="AA25" s="220">
        <v>2.4300000000000002</v>
      </c>
      <c r="AB25" s="220">
        <v>2.7</v>
      </c>
      <c r="AC25" s="220">
        <v>2.99</v>
      </c>
      <c r="AD25" s="220">
        <v>3.32</v>
      </c>
      <c r="AE25" s="220">
        <v>3.68</v>
      </c>
    </row>
    <row r="26" spans="1:31">
      <c r="A26" s="176" t="s">
        <v>285</v>
      </c>
      <c r="B26" s="242" t="s">
        <v>283</v>
      </c>
      <c r="C26" s="242" t="s">
        <v>40</v>
      </c>
      <c r="D26" s="221">
        <v>8.19</v>
      </c>
      <c r="E26" s="221">
        <v>8.9600000000000009</v>
      </c>
      <c r="F26" s="221">
        <v>10.71</v>
      </c>
      <c r="G26" s="221">
        <v>11.2</v>
      </c>
      <c r="H26" s="221">
        <v>12.16</v>
      </c>
      <c r="I26" s="221">
        <v>13.49</v>
      </c>
      <c r="J26" s="221">
        <v>14.03</v>
      </c>
      <c r="K26" s="221">
        <v>14.48</v>
      </c>
      <c r="L26" s="221">
        <v>14.92</v>
      </c>
      <c r="M26" s="221">
        <v>15.07</v>
      </c>
      <c r="N26" s="221">
        <v>15.1</v>
      </c>
      <c r="O26" s="221">
        <v>15.12</v>
      </c>
      <c r="P26" s="220"/>
      <c r="Q26" s="220"/>
      <c r="R26" s="221" t="s">
        <v>283</v>
      </c>
      <c r="S26" s="221" t="s">
        <v>40</v>
      </c>
      <c r="T26" s="221">
        <v>4.22</v>
      </c>
      <c r="U26" s="221">
        <v>4.62</v>
      </c>
      <c r="V26" s="221">
        <v>5.52</v>
      </c>
      <c r="W26" s="221">
        <v>5.77</v>
      </c>
      <c r="X26" s="221">
        <v>6.27</v>
      </c>
      <c r="Y26" s="221">
        <v>6.95</v>
      </c>
      <c r="Z26" s="221">
        <v>7.23</v>
      </c>
      <c r="AA26" s="221">
        <v>7.46</v>
      </c>
      <c r="AB26" s="221">
        <v>7.69</v>
      </c>
      <c r="AC26" s="221">
        <v>7.76</v>
      </c>
      <c r="AD26" s="221">
        <v>7.78</v>
      </c>
      <c r="AE26" s="221">
        <v>7.79</v>
      </c>
    </row>
    <row r="27" spans="1:31">
      <c r="A27" s="175" t="s">
        <v>286</v>
      </c>
      <c r="B27" s="240" t="s">
        <v>284</v>
      </c>
      <c r="C27" s="240" t="s">
        <v>40</v>
      </c>
      <c r="D27" s="220">
        <v>32.29</v>
      </c>
      <c r="E27" s="220">
        <v>38.85</v>
      </c>
      <c r="F27" s="220">
        <v>45.72</v>
      </c>
      <c r="G27" s="220">
        <v>47.69</v>
      </c>
      <c r="H27" s="220">
        <v>51.59</v>
      </c>
      <c r="I27" s="220">
        <v>57.53</v>
      </c>
      <c r="J27" s="220">
        <v>60.13</v>
      </c>
      <c r="K27" s="220">
        <v>61.68</v>
      </c>
      <c r="L27" s="220">
        <v>63.98</v>
      </c>
      <c r="M27" s="220">
        <v>65.08</v>
      </c>
      <c r="N27" s="220">
        <v>65.650000000000006</v>
      </c>
      <c r="O27" s="220">
        <v>66.23</v>
      </c>
      <c r="P27" s="220"/>
      <c r="Q27" s="220"/>
      <c r="R27" s="220" t="s">
        <v>284</v>
      </c>
      <c r="S27" s="220" t="s">
        <v>40</v>
      </c>
      <c r="T27" s="220">
        <v>8.07</v>
      </c>
      <c r="U27" s="220">
        <v>9.7100000000000009</v>
      </c>
      <c r="V27" s="220">
        <v>11.43</v>
      </c>
      <c r="W27" s="220">
        <v>11.92</v>
      </c>
      <c r="X27" s="220">
        <v>12.9</v>
      </c>
      <c r="Y27" s="220">
        <v>14.38</v>
      </c>
      <c r="Z27" s="220">
        <v>15.03</v>
      </c>
      <c r="AA27" s="220">
        <v>15.42</v>
      </c>
      <c r="AB27" s="220">
        <v>15.99</v>
      </c>
      <c r="AC27" s="220">
        <v>16.27</v>
      </c>
      <c r="AD27" s="220">
        <v>16.41</v>
      </c>
      <c r="AE27" s="220">
        <v>16.559999999999999</v>
      </c>
    </row>
    <row r="28" spans="1:31">
      <c r="B28" s="242" t="s">
        <v>285</v>
      </c>
      <c r="C28" s="242" t="s">
        <v>40</v>
      </c>
      <c r="D28" s="221">
        <v>1.37</v>
      </c>
      <c r="E28" s="221">
        <v>1.27</v>
      </c>
      <c r="F28" s="221">
        <v>1.17</v>
      </c>
      <c r="G28" s="221">
        <v>1.24</v>
      </c>
      <c r="H28" s="221">
        <v>1.28</v>
      </c>
      <c r="I28" s="221">
        <v>1.32</v>
      </c>
      <c r="J28" s="221">
        <v>1.36</v>
      </c>
      <c r="K28" s="221">
        <v>1.4</v>
      </c>
      <c r="L28" s="221">
        <v>1.45</v>
      </c>
      <c r="M28" s="221">
        <v>1.52</v>
      </c>
      <c r="N28" s="221">
        <v>1.59</v>
      </c>
      <c r="O28" s="221">
        <v>1.66</v>
      </c>
      <c r="P28" s="220"/>
      <c r="Q28" s="220"/>
      <c r="R28" s="221" t="s">
        <v>285</v>
      </c>
      <c r="S28" s="221" t="s">
        <v>40</v>
      </c>
      <c r="T28" s="221">
        <v>0.48</v>
      </c>
      <c r="U28" s="221">
        <v>0.45</v>
      </c>
      <c r="V28" s="221">
        <v>0.41</v>
      </c>
      <c r="W28" s="221">
        <v>0.4</v>
      </c>
      <c r="X28" s="221">
        <v>0.41</v>
      </c>
      <c r="Y28" s="221">
        <v>0.42</v>
      </c>
      <c r="Z28" s="221">
        <v>0.44</v>
      </c>
      <c r="AA28" s="221">
        <v>0.46</v>
      </c>
      <c r="AB28" s="221">
        <v>0.48</v>
      </c>
      <c r="AC28" s="221">
        <v>0.49</v>
      </c>
      <c r="AD28" s="221">
        <v>0.51</v>
      </c>
      <c r="AE28" s="221">
        <v>0.52</v>
      </c>
    </row>
    <row r="29" spans="1:31">
      <c r="B29" s="240" t="s">
        <v>286</v>
      </c>
      <c r="C29" s="240" t="s">
        <v>40</v>
      </c>
      <c r="D29" s="220">
        <v>0.6</v>
      </c>
      <c r="E29" s="220">
        <v>0.33</v>
      </c>
      <c r="F29" s="220">
        <v>0.35</v>
      </c>
      <c r="G29" s="220">
        <v>0.43</v>
      </c>
      <c r="H29" s="220">
        <v>0.82</v>
      </c>
      <c r="I29" s="220">
        <v>1.21</v>
      </c>
      <c r="J29" s="220">
        <v>1.39</v>
      </c>
      <c r="K29" s="220">
        <v>1.51</v>
      </c>
      <c r="L29" s="220">
        <v>1.62</v>
      </c>
      <c r="M29" s="220">
        <v>1.74</v>
      </c>
      <c r="N29" s="220">
        <v>1.92</v>
      </c>
      <c r="O29" s="220">
        <v>2.11</v>
      </c>
      <c r="P29" s="220"/>
      <c r="Q29" s="220"/>
      <c r="R29" s="220" t="s">
        <v>286</v>
      </c>
      <c r="S29" s="220" t="s">
        <v>40</v>
      </c>
      <c r="T29" s="220">
        <v>0</v>
      </c>
      <c r="U29" s="220">
        <v>0</v>
      </c>
      <c r="V29" s="220">
        <v>0</v>
      </c>
      <c r="W29" s="220">
        <v>0</v>
      </c>
      <c r="X29" s="220">
        <v>0</v>
      </c>
      <c r="Y29" s="220">
        <v>0</v>
      </c>
      <c r="Z29" s="220">
        <v>0</v>
      </c>
      <c r="AA29" s="220">
        <v>0</v>
      </c>
      <c r="AB29" s="220">
        <v>0</v>
      </c>
      <c r="AC29" s="220">
        <v>0</v>
      </c>
      <c r="AD29" s="220">
        <v>0</v>
      </c>
      <c r="AE29" s="220">
        <v>0</v>
      </c>
    </row>
    <row r="36" spans="10:13">
      <c r="L36" s="175" t="s">
        <v>288</v>
      </c>
      <c r="M36" s="175" t="s">
        <v>289</v>
      </c>
    </row>
    <row r="37" spans="10:13">
      <c r="J37" s="175" t="s">
        <v>202</v>
      </c>
      <c r="K37" s="175" t="s">
        <v>203</v>
      </c>
      <c r="L37" s="175">
        <v>0.74133047237566796</v>
      </c>
    </row>
    <row r="38" spans="10:13">
      <c r="J38" s="175" t="s">
        <v>211</v>
      </c>
      <c r="K38" s="175" t="s">
        <v>212</v>
      </c>
      <c r="L38" s="175">
        <v>0.70579966949183226</v>
      </c>
    </row>
    <row r="39" spans="10:13">
      <c r="J39" s="175" t="s">
        <v>214</v>
      </c>
      <c r="K39" s="175" t="s">
        <v>215</v>
      </c>
      <c r="L39" s="175">
        <v>0.70448204835116923</v>
      </c>
    </row>
    <row r="40" spans="10:13">
      <c r="J40" s="175" t="s">
        <v>216</v>
      </c>
      <c r="K40" s="175" t="s">
        <v>217</v>
      </c>
      <c r="L40" s="175">
        <v>0.70448204835116923</v>
      </c>
    </row>
    <row r="41" spans="10:13">
      <c r="K41" s="175" t="s">
        <v>221</v>
      </c>
      <c r="L41" s="175">
        <v>0.72394704223382245</v>
      </c>
    </row>
    <row r="42" spans="10:13">
      <c r="J42" s="175" t="s">
        <v>219</v>
      </c>
      <c r="K42" s="175" t="s">
        <v>220</v>
      </c>
      <c r="L42" s="175">
        <v>0.67564531292204155</v>
      </c>
    </row>
    <row r="43" spans="10:13">
      <c r="J43" s="175" t="s">
        <v>223</v>
      </c>
      <c r="K43" s="175" t="s">
        <v>290</v>
      </c>
      <c r="L43" s="175">
        <v>0.66</v>
      </c>
    </row>
    <row r="44" spans="10:13">
      <c r="J44" s="175" t="s">
        <v>225</v>
      </c>
      <c r="K44" s="175" t="s">
        <v>290</v>
      </c>
      <c r="L44" s="175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66"/>
  <sheetViews>
    <sheetView tabSelected="1" topLeftCell="B4" zoomScale="80" zoomScaleNormal="80" workbookViewId="0">
      <selection activeCell="Q10" sqref="Q10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15.85546875" style="2" customWidth="1"/>
    <col min="5" max="5" width="11.5703125" style="2" customWidth="1"/>
    <col min="6" max="7" width="10.42578125" style="2" customWidth="1"/>
    <col min="8" max="8" width="15.85546875" style="2" customWidth="1"/>
    <col min="9" max="9" width="28.42578125" style="2" bestFit="1" customWidth="1"/>
    <col min="10" max="23" width="10.42578125" style="2" customWidth="1"/>
    <col min="24" max="24" width="28.42578125" style="2" bestFit="1" customWidth="1"/>
    <col min="25" max="25" width="34.85546875" style="2" bestFit="1" customWidth="1"/>
    <col min="26" max="26" width="8.42578125" style="2" bestFit="1" customWidth="1"/>
    <col min="27" max="27" width="9.140625" style="2" bestFit="1" customWidth="1"/>
    <col min="28" max="28" width="22.140625" style="2" bestFit="1" customWidth="1"/>
    <col min="29" max="29" width="9" style="2" bestFit="1" customWidth="1"/>
    <col min="30" max="30" width="6.7109375" style="2" bestFit="1" customWidth="1"/>
    <col min="31" max="44" width="10.42578125" style="2" customWidth="1"/>
    <col min="45" max="16384" width="9.140625" style="2"/>
  </cols>
  <sheetData>
    <row r="1" spans="1:30" ht="36" customHeight="1">
      <c r="A1" s="36" t="s">
        <v>77</v>
      </c>
    </row>
    <row r="2" spans="1:30" ht="15.75" customHeight="1"/>
    <row r="3" spans="1:30" ht="15.75" customHeight="1"/>
    <row r="4" spans="1:30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0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0" ht="15.75" customHeight="1">
      <c r="B6" s="14" t="s">
        <v>7</v>
      </c>
      <c r="C6" s="15" t="s">
        <v>28</v>
      </c>
      <c r="D6" s="14" t="s">
        <v>0</v>
      </c>
      <c r="E6" s="14" t="s">
        <v>335</v>
      </c>
      <c r="F6" s="14" t="s">
        <v>333</v>
      </c>
      <c r="G6" s="14" t="s">
        <v>3</v>
      </c>
      <c r="H6" s="14" t="s">
        <v>332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Q6" s="5" t="s">
        <v>11</v>
      </c>
      <c r="R6" s="6" t="s">
        <v>28</v>
      </c>
      <c r="S6" s="5" t="s">
        <v>1</v>
      </c>
      <c r="T6" s="5" t="s">
        <v>325</v>
      </c>
      <c r="U6" s="5" t="s">
        <v>326</v>
      </c>
      <c r="V6" s="5" t="s">
        <v>334</v>
      </c>
      <c r="W6" s="5" t="s">
        <v>335</v>
      </c>
      <c r="X6" s="5" t="s">
        <v>2</v>
      </c>
      <c r="Y6" s="251" t="s">
        <v>336</v>
      </c>
      <c r="Z6" s="5" t="s">
        <v>14</v>
      </c>
      <c r="AA6" s="5" t="s">
        <v>15</v>
      </c>
      <c r="AB6" s="5" t="s">
        <v>16</v>
      </c>
      <c r="AC6" s="5" t="s">
        <v>17</v>
      </c>
      <c r="AD6" s="5" t="s">
        <v>18</v>
      </c>
    </row>
    <row r="7" spans="1:30" ht="33.75" customHeight="1" thickBot="1">
      <c r="B7" s="16" t="s">
        <v>32</v>
      </c>
      <c r="C7" s="16" t="s">
        <v>29</v>
      </c>
      <c r="D7" s="16" t="s">
        <v>24</v>
      </c>
      <c r="E7" s="248"/>
      <c r="F7" s="248"/>
      <c r="G7" s="248"/>
      <c r="H7" s="24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Q7" s="7" t="s">
        <v>33</v>
      </c>
      <c r="R7" s="7" t="s">
        <v>29</v>
      </c>
      <c r="S7" s="7" t="s">
        <v>19</v>
      </c>
      <c r="T7" s="249"/>
      <c r="U7" s="249"/>
      <c r="V7" s="249"/>
      <c r="W7" s="249"/>
      <c r="X7" s="249"/>
      <c r="Y7" s="252" t="s">
        <v>20</v>
      </c>
      <c r="Z7" s="7" t="s">
        <v>21</v>
      </c>
      <c r="AA7" s="7" t="s">
        <v>22</v>
      </c>
      <c r="AB7" s="7" t="s">
        <v>38</v>
      </c>
      <c r="AC7" s="7" t="s">
        <v>37</v>
      </c>
      <c r="AD7" s="7" t="s">
        <v>23</v>
      </c>
    </row>
    <row r="8" spans="1:30" ht="15.75" customHeight="1">
      <c r="B8" s="18" t="s">
        <v>39</v>
      </c>
      <c r="C8" s="18" t="s">
        <v>272</v>
      </c>
      <c r="D8" s="32" t="s">
        <v>53</v>
      </c>
      <c r="E8" s="32" t="s">
        <v>328</v>
      </c>
      <c r="F8" s="32"/>
      <c r="G8" s="32" t="str">
        <f xml:space="preserve"> _xlfn.CONCAT(E8, " -:- ", F8)</f>
        <v xml:space="preserve">Natural Gas -:- </v>
      </c>
      <c r="H8" s="33" t="s">
        <v>57</v>
      </c>
      <c r="I8" s="18" t="s">
        <v>40</v>
      </c>
      <c r="J8" s="18" t="s">
        <v>164</v>
      </c>
      <c r="K8" s="18" t="s">
        <v>50</v>
      </c>
      <c r="L8" s="19"/>
      <c r="M8" s="19"/>
      <c r="Q8" s="13" t="s">
        <v>42</v>
      </c>
      <c r="R8" s="13"/>
      <c r="S8" s="13"/>
      <c r="T8" s="250"/>
      <c r="U8" s="250"/>
      <c r="V8" s="250"/>
      <c r="W8" s="250"/>
      <c r="X8" s="250"/>
      <c r="Y8" s="250"/>
      <c r="Z8" s="13"/>
      <c r="AA8" s="13"/>
      <c r="AB8" s="13"/>
      <c r="AC8" s="13"/>
      <c r="AD8" s="13"/>
    </row>
    <row r="9" spans="1:30" ht="15.75" customHeight="1">
      <c r="B9" s="18" t="s">
        <v>39</v>
      </c>
      <c r="C9" s="18" t="s">
        <v>272</v>
      </c>
      <c r="D9" s="32" t="s">
        <v>54</v>
      </c>
      <c r="E9" s="32" t="s">
        <v>329</v>
      </c>
      <c r="F9" s="32"/>
      <c r="G9" s="32" t="str">
        <f t="shared" ref="G9:G17" si="0" xml:space="preserve"> _xlfn.CONCAT(E9, " -:- ", F9)</f>
        <v xml:space="preserve">Bio Liquids -:- </v>
      </c>
      <c r="H9" s="33" t="s">
        <v>58</v>
      </c>
      <c r="I9" s="18" t="s">
        <v>40</v>
      </c>
      <c r="J9" s="18" t="s">
        <v>164</v>
      </c>
      <c r="K9" s="18" t="s">
        <v>50</v>
      </c>
      <c r="L9" s="19"/>
      <c r="M9" s="19"/>
      <c r="Q9" s="18" t="s">
        <v>359</v>
      </c>
      <c r="R9" s="18" t="s">
        <v>272</v>
      </c>
      <c r="S9" s="24" t="str">
        <f t="shared" ref="S9:S15" si="1">$A$19&amp;D8</f>
        <v>FTE_TRANGA</v>
      </c>
      <c r="T9" s="32" t="s">
        <v>327</v>
      </c>
      <c r="U9" s="32"/>
      <c r="V9" s="32"/>
      <c r="W9" s="32" t="s">
        <v>328</v>
      </c>
      <c r="X9" s="32" t="str">
        <f t="shared" ref="X9:X17" si="2" xml:space="preserve"> _xlfn.CONCAT( T9, " -:- ", U9, " -:- ", V9, " -:- ", W9)</f>
        <v>Transport -:-  -:-  -:- Natural Gas</v>
      </c>
      <c r="Y9" s="21" t="str">
        <f t="shared" ref="Y9:Y17" si="3">"Distribution of "&amp;H8</f>
        <v>Distribution of Transport Natural Gas</v>
      </c>
      <c r="Z9" s="18" t="s">
        <v>40</v>
      </c>
      <c r="AA9" s="18" t="s">
        <v>56</v>
      </c>
      <c r="AB9" s="18" t="s">
        <v>50</v>
      </c>
      <c r="AC9" s="18"/>
      <c r="AD9" s="18"/>
    </row>
    <row r="10" spans="1:30" ht="15.75" customHeight="1">
      <c r="B10" s="18" t="s">
        <v>39</v>
      </c>
      <c r="C10" s="18" t="s">
        <v>272</v>
      </c>
      <c r="D10" s="32" t="s">
        <v>62</v>
      </c>
      <c r="E10" s="32" t="s">
        <v>132</v>
      </c>
      <c r="F10" s="32"/>
      <c r="G10" s="32" t="str">
        <f t="shared" si="0"/>
        <v xml:space="preserve">LPG -:- </v>
      </c>
      <c r="H10" s="33" t="s">
        <v>59</v>
      </c>
      <c r="I10" s="18" t="s">
        <v>40</v>
      </c>
      <c r="J10" s="18" t="s">
        <v>164</v>
      </c>
      <c r="K10" s="18" t="s">
        <v>50</v>
      </c>
      <c r="L10" s="19"/>
      <c r="M10" s="19"/>
      <c r="Q10" s="18"/>
      <c r="R10" s="18" t="s">
        <v>272</v>
      </c>
      <c r="S10" s="24" t="str">
        <f t="shared" si="1"/>
        <v>FTE_TRABIL</v>
      </c>
      <c r="T10" s="32" t="s">
        <v>327</v>
      </c>
      <c r="U10" s="32"/>
      <c r="V10" s="32"/>
      <c r="W10" s="32" t="s">
        <v>329</v>
      </c>
      <c r="X10" s="32" t="str">
        <f t="shared" si="2"/>
        <v>Transport -:-  -:-  -:- Bio Liquids</v>
      </c>
      <c r="Y10" s="21" t="str">
        <f t="shared" si="3"/>
        <v>Distribution of Transport Bio Liquids</v>
      </c>
      <c r="Z10" s="18" t="s">
        <v>40</v>
      </c>
      <c r="AA10" s="18" t="s">
        <v>56</v>
      </c>
      <c r="AB10" s="18" t="s">
        <v>50</v>
      </c>
      <c r="AC10" s="18"/>
      <c r="AD10" s="18"/>
    </row>
    <row r="11" spans="1:30" ht="15.75" customHeight="1">
      <c r="B11" s="18" t="s">
        <v>39</v>
      </c>
      <c r="C11" s="18" t="s">
        <v>272</v>
      </c>
      <c r="D11" s="32" t="s">
        <v>63</v>
      </c>
      <c r="E11" s="32" t="s">
        <v>155</v>
      </c>
      <c r="F11" s="32"/>
      <c r="G11" s="32" t="str">
        <f t="shared" si="0"/>
        <v xml:space="preserve">Petrol -:- </v>
      </c>
      <c r="H11" s="33" t="s">
        <v>60</v>
      </c>
      <c r="I11" s="18" t="s">
        <v>40</v>
      </c>
      <c r="J11" s="18" t="s">
        <v>164</v>
      </c>
      <c r="K11" s="18" t="s">
        <v>50</v>
      </c>
      <c r="L11" s="19"/>
      <c r="M11" s="19"/>
      <c r="Q11" s="18"/>
      <c r="R11" s="18" t="s">
        <v>272</v>
      </c>
      <c r="S11" s="24" t="str">
        <f t="shared" si="1"/>
        <v>FTE_TRALPG</v>
      </c>
      <c r="T11" s="32" t="s">
        <v>327</v>
      </c>
      <c r="U11" s="32"/>
      <c r="V11" s="32"/>
      <c r="W11" s="32" t="s">
        <v>132</v>
      </c>
      <c r="X11" s="32" t="str">
        <f t="shared" si="2"/>
        <v>Transport -:-  -:-  -:- LPG</v>
      </c>
      <c r="Y11" s="21" t="str">
        <f t="shared" si="3"/>
        <v>Distribution of Transport LPG</v>
      </c>
      <c r="Z11" s="18" t="s">
        <v>40</v>
      </c>
      <c r="AA11" s="18" t="s">
        <v>56</v>
      </c>
      <c r="AB11" s="18" t="s">
        <v>50</v>
      </c>
      <c r="AC11" s="18"/>
      <c r="AD11" s="18"/>
    </row>
    <row r="12" spans="1:30" ht="15.75" customHeight="1">
      <c r="B12" s="18" t="s">
        <v>39</v>
      </c>
      <c r="C12" s="18" t="s">
        <v>272</v>
      </c>
      <c r="D12" s="32" t="s">
        <v>64</v>
      </c>
      <c r="E12" s="32" t="s">
        <v>156</v>
      </c>
      <c r="F12" s="32"/>
      <c r="G12" s="32" t="str">
        <f t="shared" si="0"/>
        <v xml:space="preserve">Diesel -:- </v>
      </c>
      <c r="H12" s="33" t="s">
        <v>61</v>
      </c>
      <c r="I12" s="18" t="s">
        <v>40</v>
      </c>
      <c r="J12" s="18" t="s">
        <v>164</v>
      </c>
      <c r="K12" s="18" t="s">
        <v>50</v>
      </c>
      <c r="L12" s="19"/>
      <c r="M12" s="19"/>
      <c r="Q12" s="18"/>
      <c r="R12" s="18" t="s">
        <v>272</v>
      </c>
      <c r="S12" s="24" t="str">
        <f t="shared" si="1"/>
        <v>FTE_TRAPET</v>
      </c>
      <c r="T12" s="32" t="s">
        <v>327</v>
      </c>
      <c r="U12" s="32"/>
      <c r="V12" s="32"/>
      <c r="W12" s="32" t="s">
        <v>155</v>
      </c>
      <c r="X12" s="32" t="str">
        <f t="shared" si="2"/>
        <v>Transport -:-  -:-  -:- Petrol</v>
      </c>
      <c r="Y12" s="21" t="str">
        <f t="shared" si="3"/>
        <v>Distribution of Transport Petrol</v>
      </c>
      <c r="Z12" s="18" t="s">
        <v>40</v>
      </c>
      <c r="AA12" s="18" t="s">
        <v>56</v>
      </c>
      <c r="AB12" s="18" t="s">
        <v>50</v>
      </c>
      <c r="AC12" s="18"/>
      <c r="AD12" s="18"/>
    </row>
    <row r="13" spans="1:30" ht="15.75" customHeight="1">
      <c r="B13" s="18" t="s">
        <v>39</v>
      </c>
      <c r="C13" s="18" t="s">
        <v>272</v>
      </c>
      <c r="D13" s="32" t="s">
        <v>71</v>
      </c>
      <c r="E13" s="32" t="s">
        <v>330</v>
      </c>
      <c r="F13" s="32"/>
      <c r="G13" s="32" t="str">
        <f t="shared" si="0"/>
        <v xml:space="preserve">Jet Fuel -:- </v>
      </c>
      <c r="H13" s="33" t="s">
        <v>75</v>
      </c>
      <c r="I13" s="18" t="s">
        <v>40</v>
      </c>
      <c r="J13" s="18" t="s">
        <v>164</v>
      </c>
      <c r="K13" s="18" t="s">
        <v>50</v>
      </c>
      <c r="L13" s="19"/>
      <c r="M13" s="19"/>
      <c r="Q13" s="18"/>
      <c r="R13" s="18" t="s">
        <v>272</v>
      </c>
      <c r="S13" s="24" t="str">
        <f t="shared" si="1"/>
        <v>FTE_TRADSL</v>
      </c>
      <c r="T13" s="32" t="s">
        <v>327</v>
      </c>
      <c r="U13" s="32"/>
      <c r="V13" s="32"/>
      <c r="W13" s="32" t="s">
        <v>156</v>
      </c>
      <c r="X13" s="32" t="str">
        <f t="shared" si="2"/>
        <v>Transport -:-  -:-  -:- Diesel</v>
      </c>
      <c r="Y13" s="21" t="str">
        <f t="shared" si="3"/>
        <v>Distribution of Transport Diesel</v>
      </c>
      <c r="Z13" s="18" t="s">
        <v>40</v>
      </c>
      <c r="AA13" s="18" t="s">
        <v>56</v>
      </c>
      <c r="AB13" s="18" t="s">
        <v>50</v>
      </c>
      <c r="AC13" s="18"/>
      <c r="AD13" s="18"/>
    </row>
    <row r="14" spans="1:30" ht="15.75" customHeight="1">
      <c r="B14" s="18" t="s">
        <v>39</v>
      </c>
      <c r="C14" s="18" t="s">
        <v>272</v>
      </c>
      <c r="D14" s="32" t="s">
        <v>79</v>
      </c>
      <c r="E14" s="32" t="s">
        <v>331</v>
      </c>
      <c r="F14" s="32"/>
      <c r="G14" s="32" t="str">
        <f t="shared" si="0"/>
        <v xml:space="preserve">Green Hydrogen -:- </v>
      </c>
      <c r="H14" s="33" t="s">
        <v>76</v>
      </c>
      <c r="I14" s="18" t="s">
        <v>40</v>
      </c>
      <c r="J14" s="18" t="s">
        <v>164</v>
      </c>
      <c r="K14" s="18" t="s">
        <v>167</v>
      </c>
      <c r="L14" s="19"/>
      <c r="M14" s="19"/>
      <c r="Q14" s="25"/>
      <c r="R14" s="18" t="s">
        <v>272</v>
      </c>
      <c r="S14" s="24" t="str">
        <f t="shared" si="1"/>
        <v>FTE_TRAJET</v>
      </c>
      <c r="T14" s="32" t="s">
        <v>327</v>
      </c>
      <c r="U14" s="32"/>
      <c r="V14" s="32"/>
      <c r="W14" s="32" t="s">
        <v>330</v>
      </c>
      <c r="X14" s="32" t="str">
        <f t="shared" si="2"/>
        <v>Transport -:-  -:-  -:- Jet Fuel</v>
      </c>
      <c r="Y14" s="45" t="str">
        <f t="shared" si="3"/>
        <v>Distribution of Transport Aviation fuel_Kero</v>
      </c>
      <c r="Z14" s="18" t="s">
        <v>40</v>
      </c>
      <c r="AA14" s="18" t="s">
        <v>56</v>
      </c>
      <c r="AB14" s="18" t="s">
        <v>50</v>
      </c>
      <c r="AC14" s="25"/>
      <c r="AD14" s="25"/>
    </row>
    <row r="15" spans="1:30" ht="15.75" customHeight="1">
      <c r="B15" s="18" t="s">
        <v>39</v>
      </c>
      <c r="C15" s="18" t="s">
        <v>272</v>
      </c>
      <c r="D15" s="32" t="s">
        <v>55</v>
      </c>
      <c r="E15" s="32" t="s">
        <v>154</v>
      </c>
      <c r="F15" s="32"/>
      <c r="G15" s="32" t="str">
        <f t="shared" si="0"/>
        <v xml:space="preserve">Electricity -:- </v>
      </c>
      <c r="H15" s="33" t="s">
        <v>72</v>
      </c>
      <c r="I15" s="18" t="s">
        <v>40</v>
      </c>
      <c r="J15" s="18" t="s">
        <v>164</v>
      </c>
      <c r="K15" s="18" t="s">
        <v>167</v>
      </c>
      <c r="L15" s="19"/>
      <c r="M15" s="19" t="s">
        <v>84</v>
      </c>
      <c r="Q15" s="25" t="s">
        <v>315</v>
      </c>
      <c r="R15" s="18" t="s">
        <v>272</v>
      </c>
      <c r="S15" s="24" t="str">
        <f t="shared" si="1"/>
        <v>FTE_TRAH2R</v>
      </c>
      <c r="T15" s="32" t="s">
        <v>327</v>
      </c>
      <c r="U15" s="32"/>
      <c r="V15" s="32"/>
      <c r="W15" s="32" t="s">
        <v>331</v>
      </c>
      <c r="X15" s="32" t="str">
        <f t="shared" si="2"/>
        <v>Transport -:-  -:-  -:- Green Hydrogen</v>
      </c>
      <c r="Y15" s="21" t="str">
        <f t="shared" si="3"/>
        <v>Distribution of Transport jet Hydrogen</v>
      </c>
      <c r="Z15" s="18" t="s">
        <v>40</v>
      </c>
      <c r="AA15" s="18" t="s">
        <v>56</v>
      </c>
      <c r="AB15" s="18" t="s">
        <v>167</v>
      </c>
      <c r="AC15" s="25"/>
      <c r="AD15" s="25"/>
    </row>
    <row r="16" spans="1:30" ht="15.75" customHeight="1">
      <c r="B16" s="18" t="s">
        <v>39</v>
      </c>
      <c r="C16" s="18" t="s">
        <v>272</v>
      </c>
      <c r="D16" s="32" t="s">
        <v>107</v>
      </c>
      <c r="E16" s="32" t="s">
        <v>157</v>
      </c>
      <c r="F16" s="32"/>
      <c r="G16" s="32" t="str">
        <f t="shared" si="0"/>
        <v xml:space="preserve">Fuel Oil -:- </v>
      </c>
      <c r="H16" s="33" t="s">
        <v>104</v>
      </c>
      <c r="I16" s="18" t="s">
        <v>40</v>
      </c>
      <c r="J16" s="18" t="s">
        <v>164</v>
      </c>
      <c r="K16" s="18" t="s">
        <v>50</v>
      </c>
      <c r="L16" s="19"/>
      <c r="M16" s="19"/>
      <c r="R16" s="18" t="s">
        <v>272</v>
      </c>
      <c r="S16" s="24" t="s">
        <v>174</v>
      </c>
      <c r="T16" s="32" t="s">
        <v>327</v>
      </c>
      <c r="U16" s="32"/>
      <c r="V16" s="32"/>
      <c r="W16" s="32" t="s">
        <v>154</v>
      </c>
      <c r="X16" s="32" t="str">
        <f t="shared" si="2"/>
        <v>Transport -:-  -:-  -:- Electricity</v>
      </c>
      <c r="Y16" s="21" t="str">
        <f t="shared" si="3"/>
        <v xml:space="preserve">Distribution of Transport electricity </v>
      </c>
      <c r="Z16" s="18" t="s">
        <v>40</v>
      </c>
      <c r="AA16" s="18" t="s">
        <v>73</v>
      </c>
      <c r="AB16" s="18" t="s">
        <v>167</v>
      </c>
      <c r="AC16" s="25"/>
      <c r="AD16" s="25"/>
    </row>
    <row r="17" spans="1:30" ht="15.75" customHeight="1">
      <c r="B17" s="4" t="s">
        <v>47</v>
      </c>
      <c r="C17" s="18" t="s">
        <v>272</v>
      </c>
      <c r="D17" s="18" t="s">
        <v>65</v>
      </c>
      <c r="E17" s="32"/>
      <c r="F17" s="32"/>
      <c r="G17" s="32" t="str">
        <f t="shared" si="0"/>
        <v xml:space="preserve"> -:- </v>
      </c>
      <c r="H17" s="32" t="s">
        <v>74</v>
      </c>
      <c r="I17" s="33" t="s">
        <v>51</v>
      </c>
      <c r="J17" s="18"/>
      <c r="K17" s="18" t="s">
        <v>50</v>
      </c>
      <c r="L17" s="19"/>
      <c r="M17" s="19"/>
      <c r="R17" s="18" t="s">
        <v>272</v>
      </c>
      <c r="S17" s="24" t="str">
        <f>$A$19&amp;D16</f>
        <v>FTE_TRAFOL</v>
      </c>
      <c r="T17" s="32" t="s">
        <v>327</v>
      </c>
      <c r="U17" s="32"/>
      <c r="V17" s="32"/>
      <c r="W17" s="32" t="s">
        <v>157</v>
      </c>
      <c r="X17" s="32" t="str">
        <f t="shared" si="2"/>
        <v>Transport -:-  -:-  -:- Fuel Oil</v>
      </c>
      <c r="Y17" s="21" t="str">
        <f t="shared" si="3"/>
        <v>Distribution of Transport LFO</v>
      </c>
      <c r="Z17" s="18" t="s">
        <v>40</v>
      </c>
      <c r="AA17" s="18" t="s">
        <v>73</v>
      </c>
      <c r="AB17" s="18" t="s">
        <v>50</v>
      </c>
      <c r="AC17" s="25"/>
      <c r="AD17" s="25"/>
    </row>
    <row r="18" spans="1:30" ht="15.75" customHeight="1">
      <c r="B18" s="4"/>
      <c r="C18" s="4"/>
      <c r="D18" s="4"/>
      <c r="E18" s="42"/>
      <c r="F18" s="43"/>
      <c r="H18" s="4"/>
      <c r="I18" s="4"/>
      <c r="J18" s="44"/>
      <c r="K18" s="44"/>
    </row>
    <row r="19" spans="1:30" ht="15.75" customHeight="1">
      <c r="A19" s="2" t="s">
        <v>103</v>
      </c>
    </row>
    <row r="20" spans="1:3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30" ht="15.75" customHeight="1">
      <c r="D21" s="31" t="s">
        <v>69</v>
      </c>
      <c r="E21" s="10"/>
      <c r="F21" s="10"/>
    </row>
    <row r="22" spans="1:30" ht="15.75" customHeight="1">
      <c r="B22" s="11" t="s">
        <v>1</v>
      </c>
      <c r="C22" s="11" t="s">
        <v>5</v>
      </c>
      <c r="D22" s="11" t="s">
        <v>6</v>
      </c>
      <c r="E22" s="11" t="s">
        <v>170</v>
      </c>
      <c r="F22" s="11" t="s">
        <v>178</v>
      </c>
      <c r="G22" s="11" t="s">
        <v>171</v>
      </c>
      <c r="H22" s="11" t="s">
        <v>306</v>
      </c>
      <c r="I22" s="12" t="s">
        <v>43</v>
      </c>
      <c r="J22" s="12" t="s">
        <v>41</v>
      </c>
      <c r="K22" s="12" t="s">
        <v>81</v>
      </c>
      <c r="L22" s="12" t="s">
        <v>83</v>
      </c>
      <c r="M22" s="226" t="s">
        <v>317</v>
      </c>
    </row>
    <row r="23" spans="1:30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227"/>
    </row>
    <row r="24" spans="1:30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311</v>
      </c>
      <c r="L24" s="34" t="s">
        <v>312</v>
      </c>
      <c r="M24" s="227"/>
    </row>
    <row r="25" spans="1:30" ht="15.75" customHeight="1">
      <c r="B25" s="24" t="str">
        <f>+S9</f>
        <v>FTE_TRANGA</v>
      </c>
      <c r="C25" s="23" t="str">
        <f t="shared" ref="C25:C29" si="4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30" ht="15.75" customHeight="1">
      <c r="B26" s="24" t="str">
        <f>+S10</f>
        <v>FTE_TRABIL</v>
      </c>
      <c r="C26" s="23" t="str">
        <f t="shared" si="4"/>
        <v>BIL</v>
      </c>
      <c r="D26" s="23" t="str">
        <f t="shared" ref="D26:D34" si="5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172</v>
      </c>
    </row>
    <row r="27" spans="1:30" ht="15.75" customHeight="1">
      <c r="B27" s="24" t="str">
        <f>+S11</f>
        <v>FTE_TRALPG</v>
      </c>
      <c r="C27" s="23" t="str">
        <f t="shared" si="4"/>
        <v>LPG</v>
      </c>
      <c r="D27" s="23" t="str">
        <f t="shared" si="5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30" ht="15.75" customHeight="1">
      <c r="B28" s="24" t="str">
        <f>+S12</f>
        <v>FTE_TRAPET</v>
      </c>
      <c r="C28" s="23" t="str">
        <f t="shared" si="4"/>
        <v>PET</v>
      </c>
      <c r="D28" s="23" t="str">
        <f t="shared" si="5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30" ht="15.75" customHeight="1">
      <c r="B29" s="24" t="str">
        <f>+S13</f>
        <v>FTE_TRADSL</v>
      </c>
      <c r="C29" s="23" t="str">
        <f t="shared" si="4"/>
        <v>DSL</v>
      </c>
      <c r="D29" s="23" t="str">
        <f t="shared" si="5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30" ht="15.75" customHeight="1">
      <c r="B30" s="24"/>
      <c r="C30" s="23" t="s">
        <v>162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30" ht="15.75" customHeight="1">
      <c r="B31" s="24"/>
      <c r="C31" s="23" t="s">
        <v>316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30" ht="15.75" customHeight="1">
      <c r="B32" s="24" t="str">
        <f>+S14</f>
        <v>FTE_TRAJET</v>
      </c>
      <c r="C32" s="23" t="s">
        <v>105</v>
      </c>
      <c r="D32" s="23" t="str">
        <f t="shared" si="5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318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315</v>
      </c>
      <c r="C34" s="23" t="s">
        <v>86</v>
      </c>
      <c r="D34" s="23" t="str">
        <f t="shared" si="5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173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106</v>
      </c>
      <c r="D36" s="23" t="str">
        <f t="shared" ref="D36" si="6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211" t="s">
        <v>307</v>
      </c>
    </row>
    <row r="40" spans="2:13" ht="15.75" customHeight="1">
      <c r="B40" s="212" t="s">
        <v>1</v>
      </c>
      <c r="C40" s="212" t="s">
        <v>5</v>
      </c>
      <c r="D40" s="212" t="s">
        <v>6</v>
      </c>
      <c r="E40" s="212" t="s">
        <v>170</v>
      </c>
      <c r="F40" s="212" t="s">
        <v>308</v>
      </c>
      <c r="G40" s="212" t="s">
        <v>171</v>
      </c>
      <c r="H40" s="212" t="s">
        <v>163</v>
      </c>
      <c r="I40" s="213" t="s">
        <v>43</v>
      </c>
      <c r="J40" s="213" t="s">
        <v>41</v>
      </c>
      <c r="K40" s="213" t="s">
        <v>88</v>
      </c>
      <c r="L40" s="213" t="s">
        <v>310</v>
      </c>
      <c r="M40" s="228"/>
    </row>
    <row r="41" spans="2:13" ht="15.75" customHeight="1">
      <c r="B41" s="214" t="s">
        <v>309</v>
      </c>
      <c r="C41" s="215" t="s">
        <v>86</v>
      </c>
      <c r="D41" s="215" t="s">
        <v>79</v>
      </c>
      <c r="E41" s="215"/>
      <c r="F41" s="215"/>
      <c r="G41" s="215"/>
      <c r="H41" s="215"/>
      <c r="I41" s="216">
        <v>0.37</v>
      </c>
      <c r="J41" s="217">
        <v>20</v>
      </c>
      <c r="K41" s="218">
        <v>0</v>
      </c>
      <c r="L41" s="219">
        <v>100.40972222222221</v>
      </c>
      <c r="M41" s="21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311"/>
  <sheetViews>
    <sheetView topLeftCell="R1" zoomScaleNormal="100" workbookViewId="0">
      <selection activeCell="Z7" sqref="Z7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4.5703125" style="2" customWidth="1"/>
    <col min="7" max="7" width="18.42578125" style="2" customWidth="1"/>
    <col min="8" max="8" width="13.5703125" style="2" bestFit="1" customWidth="1"/>
    <col min="9" max="9" width="19" style="2" bestFit="1" customWidth="1"/>
    <col min="10" max="10" width="14.42578125" style="2" customWidth="1"/>
    <col min="11" max="11" width="10.42578125" style="2" customWidth="1"/>
    <col min="12" max="12" width="25.85546875" style="2" customWidth="1"/>
    <col min="13" max="13" width="10.42578125" style="2" customWidth="1"/>
    <col min="14" max="15" width="11.28515625" style="2" customWidth="1"/>
    <col min="16" max="20" width="10.42578125" style="2" customWidth="1"/>
    <col min="21" max="21" width="15.5703125" style="2" customWidth="1"/>
    <col min="22" max="22" width="8.28515625" style="2" bestFit="1" customWidth="1"/>
    <col min="23" max="23" width="12.5703125" style="2" bestFit="1" customWidth="1"/>
    <col min="24" max="24" width="22.42578125" style="2" bestFit="1" customWidth="1"/>
    <col min="25" max="25" width="8.140625" style="2" bestFit="1" customWidth="1"/>
    <col min="26" max="26" width="54.28515625" style="2" bestFit="1" customWidth="1"/>
    <col min="27" max="27" width="56.85546875" style="2" bestFit="1" customWidth="1"/>
    <col min="28" max="28" width="7.7109375" style="2" bestFit="1" customWidth="1"/>
    <col min="29" max="29" width="8.5703125" style="2" bestFit="1" customWidth="1"/>
    <col min="30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2" ht="21">
      <c r="B1" s="36" t="s">
        <v>78</v>
      </c>
    </row>
    <row r="2" spans="2:32" ht="15.75" customHeight="1"/>
    <row r="3" spans="2:32" ht="15.75" customHeight="1"/>
    <row r="4" spans="2:32" ht="15.75" customHeight="1">
      <c r="D4" s="3"/>
      <c r="E4" s="4"/>
      <c r="F4" s="4"/>
      <c r="G4" s="4"/>
      <c r="H4" s="4"/>
      <c r="I4" s="4"/>
      <c r="J4" s="4"/>
      <c r="K4" s="4"/>
    </row>
    <row r="5" spans="2:32" ht="15.75" customHeight="1">
      <c r="C5" s="31" t="s">
        <v>68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2" ht="15.75" customHeight="1">
      <c r="C6" s="14" t="s">
        <v>7</v>
      </c>
      <c r="D6" s="15" t="s">
        <v>28</v>
      </c>
      <c r="E6" s="14" t="s">
        <v>0</v>
      </c>
      <c r="F6" s="253" t="s">
        <v>335</v>
      </c>
      <c r="G6" s="253" t="s">
        <v>333</v>
      </c>
      <c r="H6" s="253" t="s">
        <v>3</v>
      </c>
      <c r="I6" s="253" t="s">
        <v>332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57" t="s">
        <v>325</v>
      </c>
      <c r="W6" s="257" t="s">
        <v>326</v>
      </c>
      <c r="X6" s="257" t="s">
        <v>334</v>
      </c>
      <c r="Y6" s="257" t="s">
        <v>335</v>
      </c>
      <c r="Z6" s="257" t="s">
        <v>2</v>
      </c>
      <c r="AA6" s="5" t="s">
        <v>336</v>
      </c>
      <c r="AB6" s="5" t="s">
        <v>14</v>
      </c>
      <c r="AC6" s="5" t="s">
        <v>15</v>
      </c>
      <c r="AD6" s="5" t="s">
        <v>16</v>
      </c>
      <c r="AE6" s="5" t="s">
        <v>17</v>
      </c>
      <c r="AF6" s="5" t="s">
        <v>18</v>
      </c>
    </row>
    <row r="7" spans="2:32" ht="33.75" customHeight="1" thickBot="1">
      <c r="C7" s="178" t="s">
        <v>32</v>
      </c>
      <c r="D7" s="178" t="s">
        <v>29</v>
      </c>
      <c r="E7" s="178" t="s">
        <v>24</v>
      </c>
      <c r="F7" s="248"/>
      <c r="G7" s="248"/>
      <c r="H7" s="248"/>
      <c r="I7" s="248" t="s">
        <v>25</v>
      </c>
      <c r="J7" s="178" t="s">
        <v>4</v>
      </c>
      <c r="K7" s="178" t="s">
        <v>35</v>
      </c>
      <c r="L7" s="178" t="s">
        <v>36</v>
      </c>
      <c r="M7" s="178" t="s">
        <v>304</v>
      </c>
      <c r="N7" s="178" t="s">
        <v>27</v>
      </c>
      <c r="S7" s="179" t="s">
        <v>33</v>
      </c>
      <c r="T7" s="179" t="s">
        <v>29</v>
      </c>
      <c r="U7" s="179" t="s">
        <v>19</v>
      </c>
      <c r="V7" s="249"/>
      <c r="W7" s="249"/>
      <c r="X7" s="249"/>
      <c r="Y7" s="249"/>
      <c r="Z7" s="249"/>
      <c r="AA7" s="179" t="s">
        <v>20</v>
      </c>
      <c r="AB7" s="179" t="s">
        <v>305</v>
      </c>
      <c r="AC7" s="179" t="s">
        <v>22</v>
      </c>
      <c r="AD7" s="179" t="s">
        <v>38</v>
      </c>
      <c r="AE7" s="179" t="s">
        <v>37</v>
      </c>
      <c r="AF7" s="179" t="s">
        <v>23</v>
      </c>
    </row>
    <row r="8" spans="2:32" ht="15.75" customHeight="1">
      <c r="C8" s="18" t="s">
        <v>66</v>
      </c>
      <c r="D8" s="18" t="s">
        <v>272</v>
      </c>
      <c r="E8" s="32" t="s">
        <v>85</v>
      </c>
      <c r="F8" s="32"/>
      <c r="G8" s="32" t="s">
        <v>203</v>
      </c>
      <c r="H8" s="18" t="str">
        <f xml:space="preserve"> _xlfn.CONCAT(F8, " -:- ", G8 )</f>
        <v xml:space="preserve"> -:- Car/SUV</v>
      </c>
      <c r="I8" s="18" t="s">
        <v>229</v>
      </c>
      <c r="J8" s="18" t="s">
        <v>91</v>
      </c>
      <c r="K8" s="18"/>
      <c r="L8" s="18"/>
      <c r="M8" s="19"/>
      <c r="N8" s="19"/>
      <c r="S8" s="180" t="s">
        <v>42</v>
      </c>
      <c r="T8" s="180"/>
      <c r="U8" s="180"/>
      <c r="V8" s="250"/>
      <c r="W8" s="250"/>
      <c r="X8" s="250"/>
      <c r="Y8" s="250"/>
      <c r="Z8" s="250"/>
      <c r="AA8" s="180"/>
      <c r="AB8" s="180"/>
      <c r="AC8" s="180"/>
      <c r="AD8" s="180"/>
      <c r="AE8" s="180"/>
      <c r="AF8" s="180"/>
    </row>
    <row r="9" spans="2:32" ht="15.75" customHeight="1">
      <c r="C9" s="18"/>
      <c r="D9" s="18" t="s">
        <v>272</v>
      </c>
      <c r="E9" s="32" t="s">
        <v>179</v>
      </c>
      <c r="F9" s="32"/>
      <c r="G9" s="32" t="s">
        <v>338</v>
      </c>
      <c r="H9" s="18" t="str">
        <f t="shared" ref="H9:H21" si="0" xml:space="preserve"> _xlfn.CONCAT(F9, " -:- ", G9 )</f>
        <v xml:space="preserve"> -:- Van/Ute</v>
      </c>
      <c r="I9" s="18" t="s">
        <v>180</v>
      </c>
      <c r="J9" s="18" t="s">
        <v>91</v>
      </c>
      <c r="K9" s="18"/>
      <c r="L9" s="18"/>
      <c r="M9" s="19"/>
      <c r="N9" s="19"/>
      <c r="S9" s="18" t="s">
        <v>67</v>
      </c>
      <c r="T9" s="18" t="s">
        <v>272</v>
      </c>
      <c r="U9" s="24" t="str">
        <f>+LEFT($E$8,5)&amp;LEFT(EECA_data_18!F5,4)&amp;LEFT(EECA_data_18!H5,3)&amp;"15"</f>
        <v>T_P_CICEPET15</v>
      </c>
      <c r="V9" s="24" t="s">
        <v>327</v>
      </c>
      <c r="W9" s="24" t="s">
        <v>337</v>
      </c>
      <c r="X9" s="24" t="s">
        <v>345</v>
      </c>
      <c r="Y9" s="24" t="s">
        <v>155</v>
      </c>
      <c r="Z9" s="23" t="str">
        <f t="shared" ref="Z9:Z35" si="1" xml:space="preserve"> _xlfn.CONCAT( V9, " -:- ", W9, " -:- ", X9, " -:- ", Y9)</f>
        <v>Transport -:- Road Transport -:- Internal Combustion Engine -:- Petrol</v>
      </c>
      <c r="AA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B9" s="18" t="s">
        <v>95</v>
      </c>
      <c r="AC9" s="18" t="s">
        <v>291</v>
      </c>
      <c r="AD9" s="18"/>
      <c r="AE9" s="18"/>
      <c r="AF9" s="18"/>
    </row>
    <row r="10" spans="2:32" ht="15.75" customHeight="1">
      <c r="C10" s="18"/>
      <c r="D10" s="18" t="s">
        <v>272</v>
      </c>
      <c r="E10" s="32" t="s">
        <v>90</v>
      </c>
      <c r="F10" s="32"/>
      <c r="G10" s="32" t="s">
        <v>168</v>
      </c>
      <c r="H10" s="18" t="str">
        <f t="shared" si="0"/>
        <v xml:space="preserve"> -:- Motorcycles</v>
      </c>
      <c r="I10" s="18" t="s">
        <v>181</v>
      </c>
      <c r="J10" s="18" t="s">
        <v>91</v>
      </c>
      <c r="K10" s="18"/>
      <c r="L10" s="18"/>
      <c r="M10" s="19"/>
      <c r="N10" s="19"/>
      <c r="S10" s="18" t="s">
        <v>67</v>
      </c>
      <c r="T10" s="18" t="s">
        <v>272</v>
      </c>
      <c r="U10" s="24" t="str">
        <f>+LEFT($E$8,5)&amp;LEFT(EECA_data_18!F6,4)&amp;LEFT(EECA_data_18!H6,3)&amp;"15"</f>
        <v>T_P_CICEDSL15</v>
      </c>
      <c r="V10" s="24" t="s">
        <v>327</v>
      </c>
      <c r="W10" s="24" t="s">
        <v>337</v>
      </c>
      <c r="X10" s="24" t="s">
        <v>345</v>
      </c>
      <c r="Y10" s="24" t="s">
        <v>156</v>
      </c>
      <c r="Z10" s="23" t="str">
        <f t="shared" si="1"/>
        <v>Transport -:- Road Transport -:- Internal Combustion Engine -:- Diesel</v>
      </c>
      <c r="AA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B10" s="18" t="s">
        <v>95</v>
      </c>
      <c r="AC10" s="18" t="s">
        <v>291</v>
      </c>
      <c r="AD10" s="18"/>
      <c r="AE10" s="18"/>
      <c r="AF10" s="18"/>
    </row>
    <row r="11" spans="2:32" ht="15.75" customHeight="1">
      <c r="C11" s="18"/>
      <c r="D11" s="18" t="s">
        <v>272</v>
      </c>
      <c r="E11" s="32" t="s">
        <v>89</v>
      </c>
      <c r="F11" s="32"/>
      <c r="G11" s="32" t="s">
        <v>220</v>
      </c>
      <c r="H11" s="18" t="str">
        <f t="shared" si="0"/>
        <v xml:space="preserve"> -:- Bus</v>
      </c>
      <c r="I11" s="18" t="s">
        <v>182</v>
      </c>
      <c r="J11" s="18" t="s">
        <v>91</v>
      </c>
      <c r="K11" s="18"/>
      <c r="L11" s="18"/>
      <c r="M11" s="19"/>
      <c r="N11" s="19"/>
      <c r="S11" s="18" t="s">
        <v>67</v>
      </c>
      <c r="T11" s="18" t="s">
        <v>272</v>
      </c>
      <c r="U11" s="24" t="str">
        <f>+LEFT($E$8,5)&amp;LEFT(EECA_data_18!F7,4)&amp;LEFT(EECA_data_18!H7,3)&amp;"15"</f>
        <v>T_P_CBEVNEW15</v>
      </c>
      <c r="V11" s="24" t="s">
        <v>327</v>
      </c>
      <c r="W11" s="24" t="s">
        <v>337</v>
      </c>
      <c r="X11" s="24" t="s">
        <v>346</v>
      </c>
      <c r="Y11" s="24" t="s">
        <v>154</v>
      </c>
      <c r="Z11" s="23" t="str">
        <f t="shared" si="1"/>
        <v>Transport -:- Road Transport -:- Battery Electric Vehicle -:- Electricity</v>
      </c>
      <c r="AA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B11" s="18" t="s">
        <v>95</v>
      </c>
      <c r="AC11" s="18" t="s">
        <v>291</v>
      </c>
      <c r="AD11" s="18"/>
      <c r="AE11" s="18"/>
      <c r="AF11" s="18"/>
    </row>
    <row r="12" spans="2:32" ht="15.75" customHeight="1">
      <c r="C12" s="18"/>
      <c r="D12" s="18" t="s">
        <v>272</v>
      </c>
      <c r="E12" s="18" t="s">
        <v>252</v>
      </c>
      <c r="F12" s="32"/>
      <c r="G12" s="32" t="s">
        <v>215</v>
      </c>
      <c r="H12" s="18" t="str">
        <f t="shared" si="0"/>
        <v xml:space="preserve"> -:- Medium Truck</v>
      </c>
      <c r="I12" s="18" t="s">
        <v>254</v>
      </c>
      <c r="J12" s="18" t="s">
        <v>91</v>
      </c>
      <c r="K12" s="18"/>
      <c r="L12" s="18"/>
      <c r="M12" s="19"/>
      <c r="N12" s="19"/>
      <c r="S12" s="18" t="s">
        <v>67</v>
      </c>
      <c r="T12" s="18" t="s">
        <v>272</v>
      </c>
      <c r="U12" s="24" t="str">
        <f>+LEFT($E$8,5)&amp;LEFT(EECA_data_18!F8,4)&amp;LEFT(EECA_data_18!H8,3)&amp;"15"</f>
        <v>T_P_CBEVUSD15</v>
      </c>
      <c r="V12" s="24" t="s">
        <v>327</v>
      </c>
      <c r="W12" s="24" t="s">
        <v>337</v>
      </c>
      <c r="X12" s="24" t="s">
        <v>346</v>
      </c>
      <c r="Y12" s="24" t="s">
        <v>154</v>
      </c>
      <c r="Z12" s="23" t="str">
        <f t="shared" si="1"/>
        <v>Transport -:- Road Transport -:- Battery Electric Vehicle -:- Electricity</v>
      </c>
      <c r="AA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B12" s="18" t="s">
        <v>95</v>
      </c>
      <c r="AC12" s="18" t="s">
        <v>291</v>
      </c>
      <c r="AD12" s="18"/>
      <c r="AE12" s="18"/>
      <c r="AF12" s="18"/>
    </row>
    <row r="13" spans="2:32" ht="15.75" customHeight="1">
      <c r="C13" s="18"/>
      <c r="D13" s="18" t="s">
        <v>272</v>
      </c>
      <c r="E13" s="18" t="s">
        <v>253</v>
      </c>
      <c r="F13" s="32"/>
      <c r="G13" s="32" t="s">
        <v>280</v>
      </c>
      <c r="H13" s="18" t="str">
        <f t="shared" si="0"/>
        <v xml:space="preserve"> -:- Heavy Truck</v>
      </c>
      <c r="I13" s="18" t="s">
        <v>255</v>
      </c>
      <c r="J13" s="18" t="s">
        <v>91</v>
      </c>
      <c r="K13" s="18"/>
      <c r="L13" s="18"/>
      <c r="M13" s="19"/>
      <c r="N13" s="19"/>
      <c r="S13" s="18" t="s">
        <v>67</v>
      </c>
      <c r="T13" s="18" t="s">
        <v>272</v>
      </c>
      <c r="U13" s="24" t="str">
        <f>+LEFT($E$8,5)&amp;LEFT(EECA_data_18!F9,4)&amp;LEFT(EECA_data_18!H9,3)&amp;"15"</f>
        <v>T_P_CICELPG15</v>
      </c>
      <c r="V13" s="24" t="s">
        <v>327</v>
      </c>
      <c r="W13" s="24" t="s">
        <v>337</v>
      </c>
      <c r="X13" s="24" t="s">
        <v>345</v>
      </c>
      <c r="Y13" s="24" t="s">
        <v>132</v>
      </c>
      <c r="Z13" s="23" t="str">
        <f t="shared" si="1"/>
        <v>Transport -:- Road Transport -:- Internal Combustion Engine -:- LPG</v>
      </c>
      <c r="AA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B13" s="18" t="s">
        <v>95</v>
      </c>
      <c r="AC13" s="18" t="s">
        <v>291</v>
      </c>
      <c r="AD13" s="18"/>
      <c r="AE13" s="18"/>
      <c r="AF13" s="18"/>
    </row>
    <row r="14" spans="2:32" ht="15.75" customHeight="1">
      <c r="C14" s="18"/>
      <c r="D14" s="18" t="s">
        <v>272</v>
      </c>
      <c r="E14" s="18" t="s">
        <v>322</v>
      </c>
      <c r="F14" s="32"/>
      <c r="G14" s="32" t="s">
        <v>321</v>
      </c>
      <c r="H14" s="18" t="str">
        <f t="shared" si="0"/>
        <v xml:space="preserve"> -:- Very Heavy Truck</v>
      </c>
      <c r="I14" s="18" t="s">
        <v>323</v>
      </c>
      <c r="J14" s="18" t="s">
        <v>91</v>
      </c>
      <c r="K14" s="18"/>
      <c r="L14" s="18"/>
      <c r="M14" s="19"/>
      <c r="N14" s="19"/>
      <c r="S14" s="18" t="s">
        <v>67</v>
      </c>
      <c r="T14" s="18" t="s">
        <v>272</v>
      </c>
      <c r="U14" s="24" t="str">
        <f>+LEFT($E$8,5)&amp;LEFT(EECA_data_18!F10,4)&amp;LEFT(EECA_data_18!H10,3)&amp;"15"</f>
        <v>T_P_CHYBPET15</v>
      </c>
      <c r="V14" s="24" t="s">
        <v>327</v>
      </c>
      <c r="W14" s="24" t="s">
        <v>337</v>
      </c>
      <c r="X14" s="24" t="s">
        <v>347</v>
      </c>
      <c r="Y14" s="24" t="s">
        <v>155</v>
      </c>
      <c r="Z14" s="23" t="str">
        <f t="shared" si="1"/>
        <v>Transport -:- Road Transport -:- Hybrid Vehicle -:- Petrol</v>
      </c>
      <c r="AA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B14" s="18" t="s">
        <v>95</v>
      </c>
      <c r="AC14" s="18" t="s">
        <v>291</v>
      </c>
      <c r="AD14" s="18"/>
      <c r="AE14" s="18"/>
      <c r="AF14" s="18"/>
    </row>
    <row r="15" spans="2:32" ht="15.75" customHeight="1" thickBot="1">
      <c r="C15" s="18"/>
      <c r="D15" s="18" t="s">
        <v>272</v>
      </c>
      <c r="E15" s="18" t="s">
        <v>185</v>
      </c>
      <c r="F15" s="32"/>
      <c r="G15" s="32" t="s">
        <v>339</v>
      </c>
      <c r="H15" s="18" t="str">
        <f t="shared" si="0"/>
        <v xml:space="preserve"> -:- Freight Rail</v>
      </c>
      <c r="I15" s="18" t="s">
        <v>183</v>
      </c>
      <c r="J15" s="18" t="s">
        <v>40</v>
      </c>
      <c r="K15" s="18"/>
      <c r="L15" s="18"/>
      <c r="M15" s="19"/>
      <c r="N15" s="19"/>
      <c r="S15" s="136" t="s">
        <v>67</v>
      </c>
      <c r="T15" s="136" t="s">
        <v>272</v>
      </c>
      <c r="U15" s="137" t="str">
        <f>+LEFT($E$8,5)&amp;LEFT(EECA_data_18!F11,4)&amp;LEFT(EECA_data_18!H11,3)&amp;"15"</f>
        <v>T_P_CPHEVPET15</v>
      </c>
      <c r="V15" s="137" t="s">
        <v>327</v>
      </c>
      <c r="W15" s="137" t="s">
        <v>337</v>
      </c>
      <c r="X15" s="137" t="s">
        <v>348</v>
      </c>
      <c r="Y15" s="137" t="s">
        <v>154</v>
      </c>
      <c r="Z15" s="264" t="str">
        <f t="shared" si="1"/>
        <v>Transport -:- Road Transport -:- Plug-In Hybrid Vehicle -:- Electricity</v>
      </c>
      <c r="AA15" s="13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B15" s="136" t="s">
        <v>95</v>
      </c>
      <c r="AC15" s="136" t="s">
        <v>291</v>
      </c>
      <c r="AD15" s="136"/>
      <c r="AE15" s="136"/>
      <c r="AF15" s="136"/>
    </row>
    <row r="16" spans="2:32" ht="15.75" customHeight="1">
      <c r="C16" s="18"/>
      <c r="D16" s="18" t="s">
        <v>272</v>
      </c>
      <c r="E16" s="18" t="s">
        <v>175</v>
      </c>
      <c r="F16" s="32"/>
      <c r="G16" s="32" t="s">
        <v>286</v>
      </c>
      <c r="H16" s="18" t="str">
        <f t="shared" si="0"/>
        <v xml:space="preserve"> -:- Passenger Rail</v>
      </c>
      <c r="I16" s="18" t="s">
        <v>184</v>
      </c>
      <c r="J16" s="18" t="s">
        <v>40</v>
      </c>
      <c r="K16" s="18"/>
      <c r="L16" s="18"/>
      <c r="M16" s="19"/>
      <c r="N16" s="19"/>
      <c r="S16" s="139" t="s">
        <v>67</v>
      </c>
      <c r="T16" s="139" t="s">
        <v>272</v>
      </c>
      <c r="U16" s="140" t="str">
        <f>+LEFT($E$9,5)&amp;LEFT(EECA_data_18!F13,4)&amp;LEFT(EECA_data_18!H13,3)&amp;"15"</f>
        <v>T_C_CICEPET15</v>
      </c>
      <c r="V16" s="140" t="s">
        <v>327</v>
      </c>
      <c r="W16" s="140" t="s">
        <v>337</v>
      </c>
      <c r="X16" s="140" t="s">
        <v>345</v>
      </c>
      <c r="Y16" s="140" t="s">
        <v>155</v>
      </c>
      <c r="Z16" s="265" t="str">
        <f t="shared" si="1"/>
        <v>Transport -:- Road Transport -:- Internal Combustion Engine -:- Petrol</v>
      </c>
      <c r="AA16" s="14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B16" s="139" t="s">
        <v>95</v>
      </c>
      <c r="AC16" s="139" t="s">
        <v>291</v>
      </c>
      <c r="AD16" s="139"/>
      <c r="AE16" s="139"/>
      <c r="AF16" s="139"/>
    </row>
    <row r="17" spans="3:32" ht="15.75" customHeight="1">
      <c r="C17" s="18"/>
      <c r="D17" s="18" t="s">
        <v>272</v>
      </c>
      <c r="E17" s="18" t="s">
        <v>267</v>
      </c>
      <c r="F17" s="32"/>
      <c r="G17" s="32" t="s">
        <v>341</v>
      </c>
      <c r="H17" s="18" t="str">
        <f t="shared" si="0"/>
        <v xml:space="preserve"> -:- Domestic Shipping</v>
      </c>
      <c r="I17" s="18" t="s">
        <v>265</v>
      </c>
      <c r="J17" s="18" t="s">
        <v>40</v>
      </c>
      <c r="K17" s="18"/>
      <c r="L17" s="18"/>
      <c r="M17" s="19"/>
      <c r="N17" s="19"/>
      <c r="S17" s="142" t="s">
        <v>67</v>
      </c>
      <c r="T17" s="142" t="s">
        <v>272</v>
      </c>
      <c r="U17" s="143" t="str">
        <f>+LEFT($E$9,5)&amp;LEFT(EECA_data_18!F14,4)&amp;LEFT(EECA_data_18!H14,3)&amp;"15"</f>
        <v>T_C_CICEDSL15</v>
      </c>
      <c r="V17" s="143" t="s">
        <v>327</v>
      </c>
      <c r="W17" s="143" t="s">
        <v>337</v>
      </c>
      <c r="X17" s="143" t="s">
        <v>345</v>
      </c>
      <c r="Y17" s="143" t="s">
        <v>156</v>
      </c>
      <c r="Z17" s="266" t="str">
        <f t="shared" si="1"/>
        <v>Transport -:- Road Transport -:- Internal Combustion Engine -:- Diesel</v>
      </c>
      <c r="AA17" s="14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B17" s="142" t="s">
        <v>95</v>
      </c>
      <c r="AC17" s="142" t="s">
        <v>291</v>
      </c>
      <c r="AD17" s="142"/>
      <c r="AE17" s="142"/>
      <c r="AF17" s="142"/>
    </row>
    <row r="18" spans="3:32" ht="15.75" customHeight="1">
      <c r="C18" s="18"/>
      <c r="D18" s="18" t="s">
        <v>272</v>
      </c>
      <c r="E18" s="18" t="s">
        <v>268</v>
      </c>
      <c r="F18" s="32"/>
      <c r="G18" s="32" t="s">
        <v>342</v>
      </c>
      <c r="H18" s="18" t="str">
        <f t="shared" si="0"/>
        <v xml:space="preserve"> -:- International Shipping</v>
      </c>
      <c r="I18" s="18" t="s">
        <v>266</v>
      </c>
      <c r="J18" s="18" t="s">
        <v>40</v>
      </c>
      <c r="K18" s="18"/>
      <c r="L18" s="18"/>
      <c r="M18" s="19"/>
      <c r="N18" s="19"/>
      <c r="S18" s="142" t="s">
        <v>67</v>
      </c>
      <c r="T18" s="142" t="s">
        <v>272</v>
      </c>
      <c r="U18" s="143" t="str">
        <f>+LEFT($E$9,5)&amp;LEFT(EECA_data_18!F15,4)&amp;LEFT(EECA_data_18!H15,3)&amp;"15"</f>
        <v>T_C_CBEVNEW15</v>
      </c>
      <c r="V18" s="143" t="s">
        <v>327</v>
      </c>
      <c r="W18" s="143" t="s">
        <v>337</v>
      </c>
      <c r="X18" s="143" t="s">
        <v>346</v>
      </c>
      <c r="Y18" s="143" t="s">
        <v>154</v>
      </c>
      <c r="Z18" s="266" t="str">
        <f t="shared" si="1"/>
        <v>Transport -:- Road Transport -:- Battery Electric Vehicle -:- Electricity</v>
      </c>
      <c r="AA18" s="14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B18" s="142" t="s">
        <v>95</v>
      </c>
      <c r="AC18" s="142" t="s">
        <v>291</v>
      </c>
      <c r="AD18" s="142"/>
      <c r="AE18" s="142"/>
      <c r="AF18" s="142"/>
    </row>
    <row r="19" spans="3:32" ht="15.75" customHeight="1">
      <c r="C19" s="18"/>
      <c r="D19" s="18" t="s">
        <v>272</v>
      </c>
      <c r="E19" s="18" t="s">
        <v>101</v>
      </c>
      <c r="F19" s="32"/>
      <c r="G19" s="32" t="s">
        <v>343</v>
      </c>
      <c r="H19" s="18" t="str">
        <f t="shared" si="0"/>
        <v xml:space="preserve"> -:- Domestic Aviation</v>
      </c>
      <c r="I19" s="18" t="s">
        <v>92</v>
      </c>
      <c r="J19" s="18" t="s">
        <v>40</v>
      </c>
      <c r="K19" s="18"/>
      <c r="L19" s="18"/>
      <c r="M19" s="19"/>
      <c r="N19" s="19"/>
      <c r="S19" s="142" t="s">
        <v>67</v>
      </c>
      <c r="T19" s="142" t="s">
        <v>272</v>
      </c>
      <c r="U19" s="143" t="str">
        <f>+LEFT($E$9,5)&amp;LEFT(EECA_data_18!F16,4)&amp;LEFT(EECA_data_18!H16,3)&amp;"15"</f>
        <v>T_C_CICELPG15</v>
      </c>
      <c r="V19" s="143" t="s">
        <v>327</v>
      </c>
      <c r="W19" s="143" t="s">
        <v>337</v>
      </c>
      <c r="X19" s="143" t="s">
        <v>345</v>
      </c>
      <c r="Y19" s="143" t="s">
        <v>132</v>
      </c>
      <c r="Z19" s="266" t="str">
        <f t="shared" si="1"/>
        <v>Transport -:- Road Transport -:- Internal Combustion Engine -:- LPG</v>
      </c>
      <c r="AA19" s="14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B19" s="142" t="s">
        <v>95</v>
      </c>
      <c r="AC19" s="142" t="s">
        <v>291</v>
      </c>
      <c r="AD19" s="142"/>
      <c r="AE19" s="142"/>
      <c r="AF19" s="142"/>
    </row>
    <row r="20" spans="3:32" ht="15.75" customHeight="1" thickBot="1">
      <c r="C20" s="18"/>
      <c r="D20" s="18" t="s">
        <v>272</v>
      </c>
      <c r="E20" s="18" t="s">
        <v>161</v>
      </c>
      <c r="F20" s="32"/>
      <c r="G20" s="32" t="s">
        <v>344</v>
      </c>
      <c r="H20" s="18" t="str">
        <f t="shared" si="0"/>
        <v xml:space="preserve"> -:- International Aviation</v>
      </c>
      <c r="I20" s="18" t="s">
        <v>160</v>
      </c>
      <c r="J20" s="18" t="s">
        <v>40</v>
      </c>
      <c r="K20" s="18"/>
      <c r="L20" s="18"/>
      <c r="M20" s="19"/>
      <c r="N20" s="19"/>
      <c r="S20" s="145" t="s">
        <v>67</v>
      </c>
      <c r="T20" s="145" t="s">
        <v>272</v>
      </c>
      <c r="U20" s="146" t="str">
        <f>+LEFT($E$9,5)&amp;LEFT(EECA_data_18!F17,4)&amp;LEFT(EECA_data_18!H17,3)&amp;"15"</f>
        <v>T_C_CHYBPET15</v>
      </c>
      <c r="V20" s="146" t="s">
        <v>327</v>
      </c>
      <c r="W20" s="146" t="s">
        <v>337</v>
      </c>
      <c r="X20" s="146" t="s">
        <v>347</v>
      </c>
      <c r="Y20" s="146" t="s">
        <v>155</v>
      </c>
      <c r="Z20" s="267" t="str">
        <f t="shared" si="1"/>
        <v>Transport -:- Road Transport -:- Hybrid Vehicle -:- Petrol</v>
      </c>
      <c r="AA20" s="14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B20" s="145" t="s">
        <v>95</v>
      </c>
      <c r="AC20" s="145" t="s">
        <v>291</v>
      </c>
      <c r="AD20" s="145"/>
      <c r="AE20" s="145"/>
      <c r="AF20" s="145"/>
    </row>
    <row r="21" spans="3:32" ht="15.75" customHeight="1" thickBot="1">
      <c r="C21" s="255" t="s">
        <v>39</v>
      </c>
      <c r="D21" s="255" t="s">
        <v>272</v>
      </c>
      <c r="E21" s="255" t="s">
        <v>86</v>
      </c>
      <c r="F21" s="254" t="s">
        <v>331</v>
      </c>
      <c r="G21" s="273" t="s">
        <v>358</v>
      </c>
      <c r="H21" s="255" t="str">
        <f t="shared" si="0"/>
        <v>Green Hydrogen -:- Green Hydrogen Fuel</v>
      </c>
      <c r="I21" s="255" t="s">
        <v>87</v>
      </c>
      <c r="J21" s="255" t="s">
        <v>40</v>
      </c>
      <c r="K21" s="255" t="s">
        <v>164</v>
      </c>
      <c r="L21" s="255"/>
      <c r="M21" s="256"/>
      <c r="N21" s="256"/>
      <c r="S21" s="136" t="s">
        <v>67</v>
      </c>
      <c r="T21" s="136" t="s">
        <v>272</v>
      </c>
      <c r="U21" s="137" t="s">
        <v>93</v>
      </c>
      <c r="V21" s="158" t="s">
        <v>327</v>
      </c>
      <c r="W21" s="158" t="s">
        <v>337</v>
      </c>
      <c r="X21" s="158" t="s">
        <v>345</v>
      </c>
      <c r="Y21" s="158" t="s">
        <v>155</v>
      </c>
      <c r="Z21" s="268" t="str">
        <f t="shared" si="1"/>
        <v>Transport -:- Road Transport -:- Internal Combustion Engine -:- Petrol</v>
      </c>
      <c r="AA21" s="138" t="s">
        <v>94</v>
      </c>
      <c r="AB21" s="136" t="s">
        <v>95</v>
      </c>
      <c r="AC21" s="136" t="s">
        <v>292</v>
      </c>
      <c r="AD21" s="136"/>
      <c r="AE21" s="136"/>
      <c r="AF21" s="136"/>
    </row>
    <row r="22" spans="3:32" ht="15.75" customHeight="1">
      <c r="C22" s="4"/>
      <c r="D22" s="4"/>
      <c r="E22" s="42"/>
      <c r="F22" s="43"/>
      <c r="G22" s="4"/>
      <c r="I22" s="4"/>
      <c r="J22" s="4"/>
      <c r="K22" s="44"/>
      <c r="L22" s="44"/>
      <c r="N22" s="8"/>
      <c r="O22" s="9"/>
      <c r="S22" s="142" t="s">
        <v>67</v>
      </c>
      <c r="T22" s="142" t="s">
        <v>272</v>
      </c>
      <c r="U22" s="143" t="s">
        <v>96</v>
      </c>
      <c r="V22" s="140" t="s">
        <v>327</v>
      </c>
      <c r="W22" s="140" t="s">
        <v>337</v>
      </c>
      <c r="X22" s="140" t="s">
        <v>345</v>
      </c>
      <c r="Y22" s="140" t="s">
        <v>155</v>
      </c>
      <c r="Z22" s="265" t="str">
        <f t="shared" si="1"/>
        <v>Transport -:- Road Transport -:- Internal Combustion Engine -:- Petrol</v>
      </c>
      <c r="AA22" s="144" t="str">
        <f>+EECA_data_18!D23&amp;"- "&amp;EECA_data_18!F23&amp;"-"&amp;EECA_data_18!H23</f>
        <v>Bus- ICE-PET</v>
      </c>
      <c r="AB22" s="142" t="s">
        <v>95</v>
      </c>
      <c r="AC22" s="142" t="s">
        <v>293</v>
      </c>
      <c r="AD22" s="142"/>
      <c r="AE22" s="142"/>
      <c r="AF22" s="142"/>
    </row>
    <row r="23" spans="3:32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42" t="s">
        <v>67</v>
      </c>
      <c r="T23" s="142" t="s">
        <v>272</v>
      </c>
      <c r="U23" s="143" t="s">
        <v>97</v>
      </c>
      <c r="V23" s="143" t="s">
        <v>327</v>
      </c>
      <c r="W23" s="143" t="s">
        <v>337</v>
      </c>
      <c r="X23" s="143" t="s">
        <v>345</v>
      </c>
      <c r="Y23" s="143" t="s">
        <v>156</v>
      </c>
      <c r="Z23" s="266" t="str">
        <f t="shared" si="1"/>
        <v>Transport -:- Road Transport -:- Internal Combustion Engine -:- Diesel</v>
      </c>
      <c r="AA23" s="144" t="str">
        <f>+EECA_data_18!D24&amp;"- "&amp;EECA_data_18!F24&amp;"-"&amp;EECA_data_18!H24</f>
        <v>Bus- ICE-DSL</v>
      </c>
      <c r="AB23" s="142" t="s">
        <v>95</v>
      </c>
      <c r="AC23" s="142" t="s">
        <v>293</v>
      </c>
      <c r="AD23" s="142"/>
      <c r="AE23" s="142"/>
      <c r="AF23" s="142"/>
    </row>
    <row r="24" spans="3:32" ht="15.75" customHeight="1" thickBot="1">
      <c r="S24" s="145" t="s">
        <v>67</v>
      </c>
      <c r="T24" s="145" t="s">
        <v>272</v>
      </c>
      <c r="U24" s="146" t="s">
        <v>98</v>
      </c>
      <c r="V24" s="146" t="s">
        <v>327</v>
      </c>
      <c r="W24" s="146" t="s">
        <v>337</v>
      </c>
      <c r="X24" s="146" t="s">
        <v>346</v>
      </c>
      <c r="Y24" s="146" t="s">
        <v>154</v>
      </c>
      <c r="Z24" s="267" t="str">
        <f t="shared" si="1"/>
        <v>Transport -:- Road Transport -:- Battery Electric Vehicle -:- Electricity</v>
      </c>
      <c r="AA24" s="147" t="str">
        <f>+EECA_data_18!D25&amp;"- "&amp;EECA_data_18!F25&amp;"-"&amp;EECA_data_18!H25</f>
        <v>Bus- BEV-NEW</v>
      </c>
      <c r="AB24" s="145" t="s">
        <v>95</v>
      </c>
      <c r="AC24" s="145" t="s">
        <v>293</v>
      </c>
      <c r="AD24" s="145"/>
      <c r="AE24" s="145"/>
      <c r="AF24" s="145"/>
    </row>
    <row r="25" spans="3:32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272</v>
      </c>
      <c r="U25" s="24" t="s">
        <v>256</v>
      </c>
      <c r="V25" s="135" t="s">
        <v>327</v>
      </c>
      <c r="W25" s="135" t="s">
        <v>337</v>
      </c>
      <c r="X25" s="135" t="s">
        <v>345</v>
      </c>
      <c r="Y25" s="135" t="s">
        <v>155</v>
      </c>
      <c r="Z25" s="269" t="str">
        <f t="shared" si="1"/>
        <v>Transport -:- Road Transport -:- Internal Combustion Engine -:- Petrol</v>
      </c>
      <c r="AA25" s="41" t="str">
        <f>+EECA_data_18!D18&amp;" - "&amp;EECA_data_18!F18&amp;" - "&amp;EECA_data_18!H18</f>
        <v>Medium Truck - ICE - PET</v>
      </c>
      <c r="AB25" s="18" t="s">
        <v>95</v>
      </c>
      <c r="AC25" s="18" t="s">
        <v>294</v>
      </c>
      <c r="AD25" s="18"/>
      <c r="AE25" s="18"/>
      <c r="AF25" s="18"/>
    </row>
    <row r="26" spans="3:32" ht="15.75" customHeight="1">
      <c r="S26" s="18" t="s">
        <v>67</v>
      </c>
      <c r="T26" s="18" t="s">
        <v>272</v>
      </c>
      <c r="U26" s="24" t="s">
        <v>257</v>
      </c>
      <c r="V26" s="24" t="s">
        <v>327</v>
      </c>
      <c r="W26" s="24" t="s">
        <v>337</v>
      </c>
      <c r="X26" s="24" t="s">
        <v>345</v>
      </c>
      <c r="Y26" s="24" t="s">
        <v>156</v>
      </c>
      <c r="Z26" s="23" t="str">
        <f t="shared" si="1"/>
        <v>Transport -:- Road Transport -:- Internal Combustion Engine -:- Diesel</v>
      </c>
      <c r="AA26" s="41" t="str">
        <f>+EECA_data_18!D19&amp;" - "&amp;EECA_data_18!F19&amp;" - "&amp;EECA_data_18!H19</f>
        <v>Medium Truck - ICE - DSL</v>
      </c>
      <c r="AB26" s="18" t="s">
        <v>95</v>
      </c>
      <c r="AC26" s="18" t="s">
        <v>294</v>
      </c>
      <c r="AD26" s="18"/>
      <c r="AE26" s="18"/>
      <c r="AF26" s="18"/>
    </row>
    <row r="27" spans="3:32" ht="15.75" customHeight="1" thickBot="1">
      <c r="S27" s="136" t="s">
        <v>67</v>
      </c>
      <c r="T27" s="136" t="s">
        <v>272</v>
      </c>
      <c r="U27" s="138" t="s">
        <v>258</v>
      </c>
      <c r="V27" s="137" t="s">
        <v>327</v>
      </c>
      <c r="W27" s="137" t="s">
        <v>337</v>
      </c>
      <c r="X27" s="137" t="s">
        <v>346</v>
      </c>
      <c r="Y27" s="137" t="s">
        <v>154</v>
      </c>
      <c r="Z27" s="264" t="str">
        <f t="shared" si="1"/>
        <v>Transport -:- Road Transport -:- Battery Electric Vehicle -:- Electricity</v>
      </c>
      <c r="AA27" s="138" t="str">
        <f>+EECA_data_18!D20&amp;" - "&amp;EECA_data_18!F20&amp;" - "&amp;EECA_data_18!H20</f>
        <v>Medium Truck - BEV - NEW</v>
      </c>
      <c r="AB27" s="136" t="s">
        <v>95</v>
      </c>
      <c r="AC27" s="136" t="s">
        <v>294</v>
      </c>
      <c r="AD27" s="136"/>
      <c r="AE27" s="136"/>
      <c r="AF27" s="136"/>
    </row>
    <row r="28" spans="3:32" ht="15.75" customHeight="1" thickBot="1">
      <c r="S28" s="145" t="s">
        <v>67</v>
      </c>
      <c r="T28" s="145" t="s">
        <v>272</v>
      </c>
      <c r="U28" s="147" t="s">
        <v>259</v>
      </c>
      <c r="V28" s="258" t="s">
        <v>327</v>
      </c>
      <c r="W28" s="258" t="s">
        <v>337</v>
      </c>
      <c r="X28" s="258" t="s">
        <v>345</v>
      </c>
      <c r="Y28" s="258" t="s">
        <v>156</v>
      </c>
      <c r="Z28" s="270" t="str">
        <f t="shared" si="1"/>
        <v>Transport -:- Road Transport -:- Internal Combustion Engine -:- Diesel</v>
      </c>
      <c r="AA28" s="147" t="str">
        <f>+EECA_data_18!D21&amp;" - "&amp;EECA_data_18!F21&amp;" - "&amp;EECA_data_18!H21</f>
        <v>Heavy truck - ICE - DSL</v>
      </c>
      <c r="AB28" s="145" t="s">
        <v>95</v>
      </c>
      <c r="AC28" s="145" t="s">
        <v>294</v>
      </c>
      <c r="AD28" s="145"/>
      <c r="AE28" s="145"/>
      <c r="AF28" s="145"/>
    </row>
    <row r="29" spans="3:32" ht="15.75" customHeight="1" thickBot="1">
      <c r="S29" s="145" t="s">
        <v>67</v>
      </c>
      <c r="T29" s="145" t="s">
        <v>272</v>
      </c>
      <c r="U29" s="147" t="s">
        <v>324</v>
      </c>
      <c r="V29" s="258" t="s">
        <v>327</v>
      </c>
      <c r="W29" s="258" t="s">
        <v>337</v>
      </c>
      <c r="X29" s="258" t="s">
        <v>345</v>
      </c>
      <c r="Y29" s="258" t="s">
        <v>156</v>
      </c>
      <c r="Z29" s="270" t="str">
        <f t="shared" si="1"/>
        <v>Transport -:- Road Transport -:- Internal Combustion Engine -:- Diesel</v>
      </c>
      <c r="AA29" s="147" t="str">
        <f>+[8]EECA_data_18!D22&amp;" - "&amp;[8]EECA_data_18!F22&amp;" - "&amp;[8]EECA_data_18!H22</f>
        <v>Very Heavy Truck - ICE - DSL</v>
      </c>
      <c r="AB29" s="145" t="s">
        <v>95</v>
      </c>
      <c r="AC29" s="145" t="s">
        <v>294</v>
      </c>
      <c r="AD29" s="145"/>
      <c r="AE29" s="145"/>
      <c r="AF29" s="145"/>
    </row>
    <row r="30" spans="3:32" ht="15.75" customHeight="1" thickBot="1">
      <c r="S30" s="156" t="s">
        <v>67</v>
      </c>
      <c r="T30" s="157" t="s">
        <v>272</v>
      </c>
      <c r="U30" s="158" t="s">
        <v>263</v>
      </c>
      <c r="V30" s="158" t="s">
        <v>327</v>
      </c>
      <c r="W30" s="259" t="s">
        <v>340</v>
      </c>
      <c r="X30" s="259" t="s">
        <v>349</v>
      </c>
      <c r="Y30" s="259" t="s">
        <v>157</v>
      </c>
      <c r="Z30" s="272" t="str">
        <f t="shared" si="1"/>
        <v>Transport -:- Shipping -:- Ship -:- Fuel Oil</v>
      </c>
      <c r="AA30" s="159" t="s">
        <v>265</v>
      </c>
      <c r="AB30" s="157" t="s">
        <v>40</v>
      </c>
      <c r="AC30" s="157" t="s">
        <v>56</v>
      </c>
      <c r="AD30" s="157"/>
      <c r="AE30" s="156"/>
      <c r="AF30" s="156"/>
    </row>
    <row r="31" spans="3:32" ht="15.75" customHeight="1" thickBot="1">
      <c r="S31" s="152" t="s">
        <v>67</v>
      </c>
      <c r="T31" s="153" t="s">
        <v>272</v>
      </c>
      <c r="U31" s="154" t="s">
        <v>264</v>
      </c>
      <c r="V31" s="258" t="s">
        <v>327</v>
      </c>
      <c r="W31" s="258" t="s">
        <v>340</v>
      </c>
      <c r="X31" s="258" t="s">
        <v>349</v>
      </c>
      <c r="Y31" s="258" t="s">
        <v>157</v>
      </c>
      <c r="Z31" s="270" t="str">
        <f t="shared" si="1"/>
        <v>Transport -:- Shipping -:- Ship -:- Fuel Oil</v>
      </c>
      <c r="AA31" s="155" t="s">
        <v>266</v>
      </c>
      <c r="AB31" s="153" t="s">
        <v>40</v>
      </c>
      <c r="AC31" s="153" t="s">
        <v>56</v>
      </c>
      <c r="AD31" s="153"/>
      <c r="AE31" s="152"/>
      <c r="AF31" s="152"/>
    </row>
    <row r="32" spans="3:32" ht="15.75" customHeight="1">
      <c r="S32" s="148" t="s">
        <v>67</v>
      </c>
      <c r="T32" s="134" t="s">
        <v>272</v>
      </c>
      <c r="U32" s="135" t="s">
        <v>100</v>
      </c>
      <c r="V32" s="135" t="s">
        <v>327</v>
      </c>
      <c r="W32" s="135" t="s">
        <v>222</v>
      </c>
      <c r="X32" s="135" t="s">
        <v>350</v>
      </c>
      <c r="Y32" s="135" t="s">
        <v>330</v>
      </c>
      <c r="Z32" s="269" t="str">
        <f t="shared" si="1"/>
        <v>Transport -:- Aviation -:- Plane -:- Jet Fuel</v>
      </c>
      <c r="AA32" s="149" t="s">
        <v>99</v>
      </c>
      <c r="AB32" s="134" t="s">
        <v>40</v>
      </c>
      <c r="AC32" s="134" t="s">
        <v>56</v>
      </c>
      <c r="AD32" s="134"/>
      <c r="AE32" s="148"/>
      <c r="AF32" s="148"/>
    </row>
    <row r="33" spans="2:32" ht="15.75" customHeight="1" thickBot="1">
      <c r="S33" s="150" t="s">
        <v>67</v>
      </c>
      <c r="T33" s="145" t="s">
        <v>272</v>
      </c>
      <c r="U33" s="146" t="s">
        <v>158</v>
      </c>
      <c r="V33" s="146" t="s">
        <v>327</v>
      </c>
      <c r="W33" s="146" t="s">
        <v>222</v>
      </c>
      <c r="X33" s="146" t="s">
        <v>350</v>
      </c>
      <c r="Y33" s="146" t="s">
        <v>330</v>
      </c>
      <c r="Z33" s="267" t="str">
        <f t="shared" si="1"/>
        <v>Transport -:- Aviation -:- Plane -:- Jet Fuel</v>
      </c>
      <c r="AA33" s="151" t="s">
        <v>159</v>
      </c>
      <c r="AB33" s="145" t="s">
        <v>40</v>
      </c>
      <c r="AC33" s="145" t="s">
        <v>56</v>
      </c>
      <c r="AD33" s="145"/>
      <c r="AE33" s="150"/>
      <c r="AF33" s="150"/>
    </row>
    <row r="34" spans="2:32" ht="15.75" customHeight="1">
      <c r="S34" s="261" t="s">
        <v>67</v>
      </c>
      <c r="T34" s="262" t="s">
        <v>272</v>
      </c>
      <c r="U34" s="260" t="s">
        <v>352</v>
      </c>
      <c r="V34" s="260" t="s">
        <v>327</v>
      </c>
      <c r="W34" s="260" t="s">
        <v>226</v>
      </c>
      <c r="X34" s="260" t="s">
        <v>351</v>
      </c>
      <c r="Y34" s="260" t="s">
        <v>156</v>
      </c>
      <c r="Z34" s="271" t="str">
        <f t="shared" si="1"/>
        <v>Transport -:- Rail -:- Train -:- Diesel</v>
      </c>
      <c r="AA34" s="263" t="s">
        <v>169</v>
      </c>
      <c r="AB34" s="262" t="s">
        <v>40</v>
      </c>
      <c r="AC34" s="262" t="s">
        <v>56</v>
      </c>
      <c r="AD34" s="262"/>
      <c r="AE34" s="261"/>
      <c r="AF34" s="261"/>
    </row>
    <row r="35" spans="2:32" ht="15.75" customHeight="1" thickBot="1">
      <c r="S35" s="150" t="s">
        <v>67</v>
      </c>
      <c r="T35" s="145" t="s">
        <v>272</v>
      </c>
      <c r="U35" s="146" t="s">
        <v>176</v>
      </c>
      <c r="V35" s="146" t="s">
        <v>327</v>
      </c>
      <c r="W35" s="146" t="s">
        <v>226</v>
      </c>
      <c r="X35" s="146" t="s">
        <v>351</v>
      </c>
      <c r="Y35" s="146" t="s">
        <v>154</v>
      </c>
      <c r="Z35" s="267" t="str">
        <f t="shared" si="1"/>
        <v>Transport -:- Rail -:- Train -:- Electricity</v>
      </c>
      <c r="AA35" s="151" t="s">
        <v>177</v>
      </c>
      <c r="AB35" s="145" t="s">
        <v>40</v>
      </c>
      <c r="AC35" s="145" t="s">
        <v>56</v>
      </c>
      <c r="AD35" s="145"/>
      <c r="AE35" s="150"/>
      <c r="AF35" s="150"/>
    </row>
    <row r="36" spans="2:32" ht="15.75" customHeight="1"/>
    <row r="37" spans="2:32" ht="15.75" customHeight="1"/>
    <row r="38" spans="2:32" ht="15.75" customHeight="1">
      <c r="E38" s="31" t="s">
        <v>69</v>
      </c>
      <c r="F38" s="31"/>
      <c r="G38" s="10"/>
      <c r="H38" s="10"/>
    </row>
    <row r="39" spans="2:32" ht="25.5">
      <c r="C39" s="131" t="s">
        <v>1</v>
      </c>
      <c r="D39" s="131" t="s">
        <v>5</v>
      </c>
      <c r="E39" s="131" t="s">
        <v>6</v>
      </c>
      <c r="F39" s="131" t="s">
        <v>262</v>
      </c>
      <c r="G39" s="131" t="s">
        <v>41</v>
      </c>
      <c r="H39" s="131" t="s">
        <v>295</v>
      </c>
      <c r="I39" s="131" t="s">
        <v>296</v>
      </c>
      <c r="J39" s="131" t="s">
        <v>52</v>
      </c>
      <c r="K39" s="131" t="s">
        <v>235</v>
      </c>
      <c r="L39" s="131" t="s">
        <v>82</v>
      </c>
      <c r="M39" s="131" t="s">
        <v>81</v>
      </c>
      <c r="N39" s="131" t="s">
        <v>83</v>
      </c>
      <c r="O39" s="132" t="s">
        <v>297</v>
      </c>
      <c r="P39" s="131" t="s">
        <v>298</v>
      </c>
      <c r="Q39" s="131" t="s">
        <v>299</v>
      </c>
      <c r="R39" s="131" t="s">
        <v>300</v>
      </c>
      <c r="S39" s="131" t="s">
        <v>260</v>
      </c>
      <c r="T39" s="131" t="s">
        <v>261</v>
      </c>
      <c r="U39" s="131" t="s">
        <v>313</v>
      </c>
    </row>
    <row r="40" spans="2:32" ht="48">
      <c r="C40" s="181" t="s">
        <v>34</v>
      </c>
      <c r="D40" s="181" t="s">
        <v>30</v>
      </c>
      <c r="E40" s="181" t="s">
        <v>31</v>
      </c>
      <c r="F40" s="181" t="s">
        <v>80</v>
      </c>
      <c r="G40" s="181" t="s">
        <v>49</v>
      </c>
      <c r="H40" s="183" t="s">
        <v>269</v>
      </c>
      <c r="I40" s="183" t="s">
        <v>241</v>
      </c>
      <c r="J40" s="183" t="s">
        <v>242</v>
      </c>
      <c r="K40" s="183" t="s">
        <v>249</v>
      </c>
      <c r="L40" s="183" t="s">
        <v>245</v>
      </c>
      <c r="M40" s="183" t="s">
        <v>246</v>
      </c>
      <c r="N40" s="183" t="s">
        <v>247</v>
      </c>
      <c r="O40" s="182" t="s">
        <v>248</v>
      </c>
      <c r="P40" s="183" t="s">
        <v>270</v>
      </c>
      <c r="Q40" s="183" t="s">
        <v>271</v>
      </c>
      <c r="R40" s="183" t="s">
        <v>270</v>
      </c>
      <c r="S40" s="183" t="s">
        <v>250</v>
      </c>
      <c r="T40" s="183" t="s">
        <v>251</v>
      </c>
      <c r="U40" s="183" t="s">
        <v>314</v>
      </c>
    </row>
    <row r="41" spans="2:32" ht="24">
      <c r="C41" s="181" t="s">
        <v>45</v>
      </c>
      <c r="D41" s="181"/>
      <c r="E41" s="181"/>
      <c r="F41" s="181" t="s">
        <v>102</v>
      </c>
      <c r="G41" s="181" t="s">
        <v>46</v>
      </c>
      <c r="H41" s="183">
        <v>2018</v>
      </c>
      <c r="I41" s="183"/>
      <c r="J41" s="183" t="s">
        <v>243</v>
      </c>
      <c r="K41" s="183" t="s">
        <v>244</v>
      </c>
      <c r="L41" s="183" t="s">
        <v>301</v>
      </c>
      <c r="M41" s="183" t="s">
        <v>301</v>
      </c>
      <c r="N41" s="183" t="s">
        <v>301</v>
      </c>
      <c r="O41" s="182" t="s">
        <v>302</v>
      </c>
      <c r="P41" s="182" t="s">
        <v>302</v>
      </c>
      <c r="Q41" s="182" t="s">
        <v>302</v>
      </c>
      <c r="R41" s="182" t="s">
        <v>302</v>
      </c>
      <c r="S41" s="183" t="s">
        <v>244</v>
      </c>
      <c r="T41" s="183"/>
      <c r="U41" s="183" t="s">
        <v>244</v>
      </c>
    </row>
    <row r="42" spans="2:32" ht="15.75" customHeight="1">
      <c r="B42" s="289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124">
        <f>EECA_data_18!J5*1.043</f>
        <v>0.30845918332748123</v>
      </c>
      <c r="G42" s="125">
        <f>+EECA_data_18!K5</f>
        <v>18.893708932999999</v>
      </c>
      <c r="H42" s="124">
        <f>EECA_data_18!L5*EECA_data_18!S5</f>
        <v>8.1943919656112154</v>
      </c>
      <c r="I42" s="125">
        <v>-1</v>
      </c>
      <c r="J42" s="124">
        <v>0.08</v>
      </c>
      <c r="K42" s="184">
        <f>+H42/J42/O42</f>
        <v>0.1330791275965717</v>
      </c>
      <c r="L42" s="125">
        <f>+EECA_data_18!M5</f>
        <v>33.857253063779488</v>
      </c>
      <c r="M42" s="185">
        <f>+EECA_data_18!P5</f>
        <v>1.3836761070950265</v>
      </c>
      <c r="N42" s="125"/>
      <c r="O42" s="186">
        <f>+EECA_data_18!N5*EECA_data_18!S5</f>
        <v>769.69169711313111</v>
      </c>
      <c r="P42" s="124">
        <v>0</v>
      </c>
      <c r="Q42" s="124"/>
      <c r="R42" s="125"/>
      <c r="S42" s="125"/>
      <c r="T42" s="125"/>
      <c r="U42" s="125"/>
      <c r="V42" s="187"/>
      <c r="W42" s="48"/>
      <c r="X42" s="48"/>
      <c r="Y42" s="188"/>
      <c r="AC42" s="189"/>
      <c r="AD42" s="189"/>
    </row>
    <row r="43" spans="2:32" ht="15.75" customHeight="1">
      <c r="B43" s="289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124">
        <f>EECA_data_18!J6</f>
        <v>0.27102281432564018</v>
      </c>
      <c r="G43" s="125">
        <f>+EECA_data_18!K6</f>
        <v>19.957648846000001</v>
      </c>
      <c r="H43" s="124">
        <f>EECA_data_18!L6*EECA_data_18!S6</f>
        <v>0.97544278867135614</v>
      </c>
      <c r="I43" s="125">
        <v>-1</v>
      </c>
      <c r="J43" s="124">
        <f>J42</f>
        <v>0.08</v>
      </c>
      <c r="K43" s="184">
        <f>+H43/J43/O43</f>
        <v>0.16652648589847888</v>
      </c>
      <c r="L43" s="125">
        <f>+EECA_data_18!M6</f>
        <v>40.982161028207202</v>
      </c>
      <c r="M43" s="185">
        <f>+EECA_data_18!P6</f>
        <v>1.3430866666666668</v>
      </c>
      <c r="N43" s="125"/>
      <c r="O43" s="186">
        <f>+EECA_data_18!N6*EECA_data_18!S6</f>
        <v>73.21979319148852</v>
      </c>
      <c r="P43" s="124">
        <v>0</v>
      </c>
      <c r="Q43" s="124"/>
      <c r="R43" s="125"/>
      <c r="S43" s="125"/>
      <c r="T43" s="125"/>
      <c r="U43" s="125"/>
      <c r="V43" s="187"/>
      <c r="W43" s="48"/>
      <c r="X43" s="48"/>
      <c r="Y43" s="188"/>
      <c r="AC43" s="189"/>
      <c r="AD43" s="189"/>
    </row>
    <row r="44" spans="2:32" ht="15.75" customHeight="1">
      <c r="B44" s="289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124">
        <f>EECA_data_18!J7</f>
        <v>1.4079922210878586</v>
      </c>
      <c r="G44" s="125">
        <f>+EECA_data_18!K7</f>
        <v>18.893708932999999</v>
      </c>
      <c r="H44" s="124">
        <f>EECA_data_18!L7*EECA_data_18!S7</f>
        <v>1.6813519295581583E-2</v>
      </c>
      <c r="I44" s="125">
        <v>-1</v>
      </c>
      <c r="J44" s="124">
        <f t="shared" ref="J44:J48" si="5">J43</f>
        <v>0.08</v>
      </c>
      <c r="K44" s="184">
        <f>+H44/J44/O44</f>
        <v>9.6019078547742456E-2</v>
      </c>
      <c r="L44" s="125">
        <f>+EECA_data_18!M7</f>
        <v>56.434273897483351</v>
      </c>
      <c r="M44" s="185">
        <f>+EECA_data_18!P7</f>
        <v>1.3469862952194624</v>
      </c>
      <c r="N44" s="125"/>
      <c r="O44" s="186">
        <f>+EECA_data_18!N7*EECA_data_18!S7</f>
        <v>2.1888253290232305</v>
      </c>
      <c r="P44" s="124">
        <v>0</v>
      </c>
      <c r="Q44" s="124"/>
      <c r="R44" s="125"/>
      <c r="S44" s="125"/>
      <c r="T44" s="125"/>
      <c r="U44" s="125"/>
      <c r="V44" s="187"/>
      <c r="W44" s="48"/>
      <c r="X44" s="48"/>
      <c r="Y44" s="188"/>
      <c r="AC44" s="189"/>
      <c r="AD44" s="189"/>
    </row>
    <row r="45" spans="2:32" ht="15.75" customHeight="1">
      <c r="B45" s="289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124">
        <f>EECA_data_18!J8</f>
        <v>1.4079922210878586</v>
      </c>
      <c r="G45" s="125">
        <f>+EECA_data_18!K8</f>
        <v>13.893708932999999</v>
      </c>
      <c r="H45" s="124">
        <f>EECA_data_18!L8*EECA_data_18!S8</f>
        <v>0</v>
      </c>
      <c r="I45" s="125">
        <v>-1</v>
      </c>
      <c r="J45" s="124">
        <f t="shared" si="5"/>
        <v>0.08</v>
      </c>
      <c r="K45" s="190">
        <f>+K44*0.85</f>
        <v>8.161621676558109E-2</v>
      </c>
      <c r="L45" s="125">
        <f>+EECA_data_18!M8</f>
        <v>25.285083214393978</v>
      </c>
      <c r="M45" s="185">
        <f>+EECA_data_18!P8</f>
        <v>1.6192717698146617</v>
      </c>
      <c r="N45" s="125"/>
      <c r="O45" s="186">
        <f>+EECA_data_18!N8*EECA_data_18!S8</f>
        <v>0</v>
      </c>
      <c r="P45" s="124">
        <v>0</v>
      </c>
      <c r="Q45" s="124"/>
      <c r="R45" s="125"/>
      <c r="S45" s="125"/>
      <c r="T45" s="125"/>
      <c r="U45" s="125"/>
      <c r="V45" s="187"/>
      <c r="W45" s="48"/>
      <c r="X45" s="48"/>
      <c r="Y45" s="188"/>
      <c r="AC45" s="189"/>
      <c r="AD45" s="189"/>
    </row>
    <row r="46" spans="2:32" ht="15.75" customHeight="1">
      <c r="B46" s="289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124">
        <f>EECA_data_18!J9</f>
        <v>0.3145699154482855</v>
      </c>
      <c r="G46" s="125">
        <f>+EECA_data_18!K9</f>
        <v>18.893708932999999</v>
      </c>
      <c r="H46" s="124">
        <f>EECA_data_18!L9*EECA_data_18!S9</f>
        <v>4.6560514972379769E-3</v>
      </c>
      <c r="I46" s="125">
        <v>-1</v>
      </c>
      <c r="J46" s="124">
        <f t="shared" si="5"/>
        <v>0.08</v>
      </c>
      <c r="K46" s="184">
        <f>+H46/J46/O46</f>
        <v>0.23845860358641741</v>
      </c>
      <c r="L46" s="125">
        <f>+EECA_data_18!M9</f>
        <v>36.679454380806774</v>
      </c>
      <c r="M46" s="185">
        <f>+EECA_data_18!P9</f>
        <v>1.3836761070950265</v>
      </c>
      <c r="N46" s="125"/>
      <c r="O46" s="186">
        <f>+EECA_data_18!N9*EECA_data_18!S9</f>
        <v>0.24407021948521473</v>
      </c>
      <c r="P46" s="124">
        <v>0</v>
      </c>
      <c r="Q46" s="124"/>
      <c r="R46" s="125"/>
      <c r="S46" s="125"/>
      <c r="T46" s="125"/>
      <c r="U46" s="125"/>
      <c r="V46" s="187"/>
      <c r="W46" s="48"/>
      <c r="X46" s="48"/>
      <c r="Y46" s="188"/>
      <c r="AC46" s="189"/>
      <c r="AD46" s="191"/>
    </row>
    <row r="47" spans="2:32" ht="15.75" customHeight="1">
      <c r="B47" s="289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124">
        <f>EECA_data_18!J10</f>
        <v>0.40973965605281193</v>
      </c>
      <c r="G47" s="125">
        <f>+EECA_data_18!K10</f>
        <v>18.893708932999999</v>
      </c>
      <c r="H47" s="124">
        <f>EECA_data_18!L10*EECA_data_18!S10</f>
        <v>0.12157467798343605</v>
      </c>
      <c r="I47" s="125">
        <v>-1</v>
      </c>
      <c r="J47" s="124">
        <f t="shared" si="5"/>
        <v>0.08</v>
      </c>
      <c r="K47" s="184">
        <f>+H47/J47/O47</f>
        <v>0.18972353970195158</v>
      </c>
      <c r="L47" s="125">
        <f>+EECA_data_18!M10</f>
        <v>38.4943273070229</v>
      </c>
      <c r="M47" s="185">
        <f>+EECA_data_18!P10</f>
        <v>1.1330287043611558</v>
      </c>
      <c r="N47" s="125"/>
      <c r="O47" s="186">
        <f>+EECA_data_18!N10*EECA_data_18!S10</f>
        <v>8.0099890460631045</v>
      </c>
      <c r="P47" s="124">
        <v>0</v>
      </c>
      <c r="Q47" s="124"/>
      <c r="R47" s="125"/>
      <c r="S47" s="125"/>
      <c r="T47" s="125"/>
      <c r="U47" s="125"/>
      <c r="V47" s="187"/>
      <c r="W47" s="48"/>
      <c r="X47" s="48"/>
      <c r="Y47" s="188"/>
      <c r="AC47" s="189"/>
      <c r="AD47" s="189"/>
    </row>
    <row r="48" spans="2:32" ht="15.75" customHeight="1">
      <c r="B48" s="289"/>
      <c r="C48" s="122" t="str">
        <f t="shared" si="2"/>
        <v>T_P_CPHEVPET15</v>
      </c>
      <c r="D48" s="123"/>
      <c r="E48" s="122" t="str">
        <f t="shared" si="4"/>
        <v>T_P_Car</v>
      </c>
      <c r="F48" s="124"/>
      <c r="G48" s="125">
        <f>+EECA_data_18!K11</f>
        <v>18.893708932999999</v>
      </c>
      <c r="H48" s="124">
        <f>EECA_data_18!L11*EECA_data_18!S11</f>
        <v>7.7600858287299622E-3</v>
      </c>
      <c r="I48" s="125">
        <v>-1</v>
      </c>
      <c r="J48" s="124">
        <f t="shared" si="5"/>
        <v>0.08</v>
      </c>
      <c r="K48" s="184">
        <f>+H48/J48/O48</f>
        <v>0.14002830438792699</v>
      </c>
      <c r="L48" s="125">
        <f>+EECA_data_18!M11</f>
        <v>51.909674036494785</v>
      </c>
      <c r="M48" s="185">
        <f>+EECA_data_18!P11</f>
        <v>1.2151329648648723</v>
      </c>
      <c r="N48" s="125"/>
      <c r="O48" s="186">
        <f>+EECA_data_18!N11*EECA_data_18!S11</f>
        <v>0.69272475506378983</v>
      </c>
      <c r="P48" s="124">
        <v>0</v>
      </c>
      <c r="Q48" s="124"/>
      <c r="R48" s="125"/>
      <c r="S48" s="125"/>
      <c r="T48" s="125"/>
      <c r="U48" s="125"/>
      <c r="V48" s="187"/>
      <c r="W48" s="48"/>
      <c r="X48" s="48"/>
      <c r="Y48" s="188"/>
    </row>
    <row r="49" spans="2:36" ht="15.75" customHeight="1">
      <c r="B49" s="177"/>
      <c r="C49" s="122"/>
      <c r="D49" s="123" t="s">
        <v>63</v>
      </c>
      <c r="E49" s="122"/>
      <c r="F49" s="124"/>
      <c r="G49" s="125"/>
      <c r="H49" s="124"/>
      <c r="I49" s="125"/>
      <c r="J49" s="125"/>
      <c r="K49" s="184"/>
      <c r="L49" s="125"/>
      <c r="M49" s="185"/>
      <c r="N49" s="125"/>
      <c r="O49" s="186"/>
      <c r="P49" s="124"/>
      <c r="Q49" s="124"/>
      <c r="R49" s="125"/>
      <c r="S49" s="192">
        <f>1-EECA_data_18!R11</f>
        <v>0.4</v>
      </c>
      <c r="T49" s="125"/>
      <c r="U49" s="124">
        <f>+F42</f>
        <v>0.30845918332748123</v>
      </c>
      <c r="V49" s="187"/>
      <c r="W49" s="48"/>
      <c r="X49" s="48"/>
      <c r="Y49" s="188"/>
    </row>
    <row r="50" spans="2:36" ht="15.75" customHeight="1">
      <c r="B50" s="177"/>
      <c r="C50" s="122"/>
      <c r="D50" s="123" t="s">
        <v>55</v>
      </c>
      <c r="E50" s="122"/>
      <c r="F50" s="160"/>
      <c r="G50" s="125"/>
      <c r="H50" s="124"/>
      <c r="I50" s="125"/>
      <c r="J50" s="125"/>
      <c r="K50" s="184"/>
      <c r="L50" s="125"/>
      <c r="M50" s="185"/>
      <c r="N50" s="125"/>
      <c r="O50" s="186"/>
      <c r="P50" s="124"/>
      <c r="Q50" s="124"/>
      <c r="R50" s="125"/>
      <c r="S50" s="192">
        <f>+EECA_data_18!R11</f>
        <v>0.6</v>
      </c>
      <c r="T50" s="125"/>
      <c r="U50" s="124">
        <f>+F44</f>
        <v>1.4079922210878586</v>
      </c>
      <c r="V50" s="187"/>
      <c r="Y50" s="188"/>
      <c r="AC50" s="193"/>
      <c r="AD50" s="193"/>
      <c r="AE50" s="193"/>
      <c r="AF50" s="193"/>
      <c r="AG50" s="193"/>
    </row>
    <row r="51" spans="2:36" ht="15.75" customHeight="1">
      <c r="B51" s="289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128">
        <f>EECA_data_18!J13</f>
        <v>0.22446549570454616</v>
      </c>
      <c r="G51" s="129">
        <f>+EECA_data_18!K13</f>
        <v>22.051404092999999</v>
      </c>
      <c r="H51" s="128">
        <f>EECA_data_18!L13*EECA_data_18!S13</f>
        <v>0.45012650567749657</v>
      </c>
      <c r="I51" s="129">
        <v>-1</v>
      </c>
      <c r="J51" s="128">
        <f>J48</f>
        <v>0.08</v>
      </c>
      <c r="K51" s="194">
        <f>+H51/J51/O51</f>
        <v>0.12412458902591952</v>
      </c>
      <c r="L51" s="129">
        <f>+EECA_data_18!M13</f>
        <v>33.896666666666661</v>
      </c>
      <c r="M51" s="195">
        <f>+EECA_data_18!P13</f>
        <v>1.3430866666666668</v>
      </c>
      <c r="N51" s="129"/>
      <c r="O51" s="196">
        <f>+EECA_data_18!N13*EECA_data_18!S13</f>
        <v>45.330110376387807</v>
      </c>
      <c r="P51" s="128"/>
      <c r="Q51" s="128">
        <v>0</v>
      </c>
      <c r="R51" s="129"/>
      <c r="S51" s="129"/>
      <c r="T51" s="129"/>
      <c r="U51" s="129"/>
      <c r="V51" s="187"/>
      <c r="W51" s="48"/>
      <c r="X51" s="48"/>
      <c r="Y51" s="188"/>
      <c r="AC51" s="193"/>
      <c r="AD51" s="193"/>
      <c r="AE51" s="193"/>
      <c r="AF51" s="193"/>
      <c r="AG51" s="193"/>
    </row>
    <row r="52" spans="2:36" ht="15.75" customHeight="1">
      <c r="B52" s="289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128">
        <f>EECA_data_18!J14</f>
        <v>0.24232912878138677</v>
      </c>
      <c r="G52" s="129">
        <f>EECA_data_18!K14</f>
        <v>15.784552846</v>
      </c>
      <c r="H52" s="128">
        <f>EECA_data_18!L14*EECA_data_18!S14</f>
        <v>2.1950286659214395</v>
      </c>
      <c r="I52" s="129">
        <v>-1</v>
      </c>
      <c r="J52" s="128">
        <f>J51</f>
        <v>0.08</v>
      </c>
      <c r="K52" s="194">
        <f>+H52/J52/O52</f>
        <v>0.20286569808977026</v>
      </c>
      <c r="L52" s="129">
        <f>+EECA_data_18!M14</f>
        <v>50.400339083480681</v>
      </c>
      <c r="M52" s="195">
        <f>+EECA_data_18!P14</f>
        <v>1.5396112737265695</v>
      </c>
      <c r="N52" s="129"/>
      <c r="O52" s="196">
        <f>+EECA_data_18!N14*EECA_data_18!S14</f>
        <v>135.25134402897649</v>
      </c>
      <c r="P52" s="128">
        <v>0</v>
      </c>
      <c r="Q52" s="128"/>
      <c r="R52" s="129"/>
      <c r="S52" s="129"/>
      <c r="T52" s="129"/>
      <c r="U52" s="129"/>
      <c r="V52" s="187"/>
      <c r="W52" s="48"/>
      <c r="X52" s="48"/>
      <c r="Y52" s="188"/>
      <c r="AC52" s="193"/>
      <c r="AD52" s="193"/>
      <c r="AE52" s="193"/>
      <c r="AF52" s="193"/>
      <c r="AG52" s="193"/>
    </row>
    <row r="53" spans="2:36" ht="15.75" customHeight="1">
      <c r="B53" s="289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128">
        <f>EECA_data_18!J15</f>
        <v>1.3286632211786189</v>
      </c>
      <c r="G53" s="129">
        <f>EECA_data_18!K15</f>
        <v>22.051404092999999</v>
      </c>
      <c r="H53" s="128">
        <f>EECA_data_18!L15*EECA_data_18!S15</f>
        <v>2.6478029745735099E-3</v>
      </c>
      <c r="I53" s="129">
        <v>-1</v>
      </c>
      <c r="J53" s="128">
        <f t="shared" ref="J53:J64" si="8">J52</f>
        <v>0.08</v>
      </c>
      <c r="K53" s="194">
        <f>+H53/J53/O53</f>
        <v>0.14398709875595148</v>
      </c>
      <c r="L53" s="129">
        <f>+EECA_data_18!M15</f>
        <v>70.708695652173915</v>
      </c>
      <c r="M53" s="195">
        <f>+EECA_data_18!P15</f>
        <v>1.709806221731488</v>
      </c>
      <c r="N53" s="129"/>
      <c r="O53" s="196">
        <f>+EECA_data_18!N15*EECA_data_18!S15</f>
        <v>0.22986460223264163</v>
      </c>
      <c r="P53" s="128"/>
      <c r="Q53" s="128">
        <v>0</v>
      </c>
      <c r="R53" s="129"/>
      <c r="S53" s="129"/>
      <c r="T53" s="129"/>
      <c r="U53" s="129"/>
      <c r="V53" s="187"/>
      <c r="W53" s="48"/>
      <c r="X53" s="48"/>
      <c r="Y53" s="188"/>
      <c r="AC53" s="193"/>
      <c r="AD53" s="193"/>
      <c r="AE53" s="193"/>
      <c r="AF53" s="193"/>
      <c r="AG53" s="193"/>
    </row>
    <row r="54" spans="2:36" ht="15.75" customHeight="1">
      <c r="B54" s="289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128">
        <f>EECA_data_18!J16</f>
        <v>0.3145699154482855</v>
      </c>
      <c r="G54" s="129">
        <f>EECA_data_18!K16</f>
        <v>22.051404092999999</v>
      </c>
      <c r="H54" s="128">
        <f>EECA_data_18!L16*EECA_data_18!S16</f>
        <v>1.176801322032671E-3</v>
      </c>
      <c r="I54" s="129">
        <v>-1</v>
      </c>
      <c r="J54" s="128">
        <f t="shared" si="8"/>
        <v>0.08</v>
      </c>
      <c r="K54" s="194">
        <f>+H54/J54/O54</f>
        <v>0.1588007368354189</v>
      </c>
      <c r="L54" s="129">
        <f>+EECA_data_18!M16</f>
        <v>36.718867983693947</v>
      </c>
      <c r="M54" s="195">
        <f>+EECA_data_18!P16</f>
        <v>1.3430866666666668</v>
      </c>
      <c r="N54" s="129"/>
      <c r="O54" s="196">
        <f>+EECA_data_18!N16*EECA_data_18!S16</f>
        <v>9.2631916063801709E-2</v>
      </c>
      <c r="P54" s="128"/>
      <c r="Q54" s="128">
        <v>0</v>
      </c>
      <c r="R54" s="129"/>
      <c r="S54" s="129"/>
      <c r="T54" s="129"/>
      <c r="U54" s="129"/>
      <c r="V54" s="187"/>
      <c r="W54" s="48"/>
      <c r="X54" s="48"/>
      <c r="Y54" s="188"/>
      <c r="AC54" s="193"/>
      <c r="AD54" s="193"/>
      <c r="AE54" s="193"/>
      <c r="AF54" s="193"/>
      <c r="AG54" s="193"/>
    </row>
    <row r="55" spans="2:36" ht="15.75" customHeight="1">
      <c r="B55" s="289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128">
        <f>EECA_data_18!J17</f>
        <v>0.32080057540766083</v>
      </c>
      <c r="G55" s="129">
        <f>EECA_data_18!K17</f>
        <v>22.051404092999999</v>
      </c>
      <c r="H55" s="197">
        <f>+K55*J55*O55</f>
        <v>3.8459269528413211E-5</v>
      </c>
      <c r="I55" s="129">
        <v>-1</v>
      </c>
      <c r="J55" s="128">
        <f t="shared" si="8"/>
        <v>0.08</v>
      </c>
      <c r="K55" s="190">
        <f>+K54</f>
        <v>0.1588007368354189</v>
      </c>
      <c r="L55" s="129">
        <f>+EECA_data_18!M17</f>
        <v>38.539138979341075</v>
      </c>
      <c r="M55" s="195">
        <f>+EECA_data_18!P17</f>
        <v>1.0997918790206931</v>
      </c>
      <c r="N55" s="129"/>
      <c r="O55" s="196">
        <f>+EECA_data_18!N17*EECA_data_18!S17</f>
        <v>3.0273214009290464E-3</v>
      </c>
      <c r="P55" s="128"/>
      <c r="Q55" s="128">
        <v>0</v>
      </c>
      <c r="R55" s="129"/>
      <c r="S55" s="129"/>
      <c r="T55" s="129"/>
      <c r="U55" s="129"/>
      <c r="V55" s="187"/>
      <c r="W55" s="48"/>
      <c r="X55" s="48"/>
      <c r="Y55" s="188"/>
      <c r="AC55" s="193"/>
      <c r="AD55" s="193"/>
      <c r="AE55" s="193"/>
      <c r="AF55" s="193"/>
      <c r="AG55" s="193"/>
    </row>
    <row r="56" spans="2:36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22">
        <f>+EECA_data_18!J26</f>
        <v>0.58602989312730902</v>
      </c>
      <c r="G56" s="47">
        <f>+EECA_data_18!K26</f>
        <v>12.147264359999999</v>
      </c>
      <c r="H56" s="22">
        <f>+EECA_data_18!L26*EECA_data_18!S26</f>
        <v>0.11566618930402839</v>
      </c>
      <c r="I56" s="47">
        <v>-1</v>
      </c>
      <c r="J56" s="22">
        <f t="shared" si="8"/>
        <v>0.08</v>
      </c>
      <c r="K56" s="198">
        <f t="shared" ref="K56:K62" si="9">+H56/J56/O56</f>
        <v>3.0114676688831065E-2</v>
      </c>
      <c r="L56" s="47">
        <f>+EECA_data_18!M26</f>
        <v>10</v>
      </c>
      <c r="M56" s="35">
        <f>+EECA_data_18!P26</f>
        <v>0.5</v>
      </c>
      <c r="N56" s="47"/>
      <c r="O56" s="133">
        <f>+EECA_data_18!N26*EECA_data_18!S26</f>
        <v>48.01072185631611</v>
      </c>
      <c r="P56" s="22">
        <v>0</v>
      </c>
      <c r="Q56" s="22"/>
      <c r="R56" s="47"/>
      <c r="S56" s="47"/>
      <c r="T56" s="47"/>
      <c r="U56" s="47"/>
      <c r="V56" s="187"/>
      <c r="W56" s="48"/>
      <c r="X56" s="48"/>
      <c r="Y56" s="188"/>
      <c r="AC56" s="193"/>
      <c r="AD56" s="193"/>
      <c r="AE56" s="193"/>
      <c r="AF56" s="193"/>
      <c r="AG56" s="193"/>
    </row>
    <row r="57" spans="2:36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120">
        <f>+EECA_data_18!J23</f>
        <v>0.10878530623606167</v>
      </c>
      <c r="G57" s="121">
        <f>+EECA_data_18!K23</f>
        <v>31</v>
      </c>
      <c r="H57" s="120">
        <f>+EECA_data_18!L23*EECA_data_18!S23</f>
        <v>6.4870937415591689E-4</v>
      </c>
      <c r="I57" s="121">
        <v>-1</v>
      </c>
      <c r="J57" s="120">
        <f t="shared" si="8"/>
        <v>0.08</v>
      </c>
      <c r="K57" s="199">
        <f t="shared" si="9"/>
        <v>0.15835814277570151</v>
      </c>
      <c r="L57" s="121">
        <f>+EECA_data_18!M23</f>
        <v>0</v>
      </c>
      <c r="M57" s="200">
        <f>+EECA_data_18!P23</f>
        <v>18.74419950494234</v>
      </c>
      <c r="N57" s="121"/>
      <c r="O57" s="201">
        <f>+EECA_data_18!N23*EECA_data_18!S23</f>
        <v>5.1205874448997303E-2</v>
      </c>
      <c r="P57" s="130"/>
      <c r="Q57" s="130"/>
      <c r="R57" s="121">
        <v>0</v>
      </c>
      <c r="S57" s="121"/>
      <c r="T57" s="121"/>
      <c r="U57" s="121"/>
      <c r="V57" s="187"/>
      <c r="W57" s="48"/>
      <c r="X57" s="48"/>
      <c r="Y57" s="188"/>
      <c r="AC57" s="193"/>
      <c r="AD57" s="193"/>
      <c r="AE57" s="202"/>
      <c r="AF57" s="202"/>
      <c r="AG57" s="202"/>
      <c r="AH57" s="203"/>
      <c r="AI57" s="203"/>
      <c r="AJ57" s="203"/>
    </row>
    <row r="58" spans="2:36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10">+$E$11</f>
        <v>T_P_Bus</v>
      </c>
      <c r="F58" s="120">
        <f>+EECA_data_18!J24</f>
        <v>7.3200547754531456E-2</v>
      </c>
      <c r="G58" s="121">
        <f>+EECA_data_18!K24</f>
        <v>26.248000000000001</v>
      </c>
      <c r="H58" s="120">
        <f>+EECA_data_18!L24*EECA_data_18!S24</f>
        <v>9.9252534245855284E-2</v>
      </c>
      <c r="I58" s="121">
        <v>-1</v>
      </c>
      <c r="J58" s="120">
        <f t="shared" si="8"/>
        <v>0.08</v>
      </c>
      <c r="K58" s="199">
        <f t="shared" si="9"/>
        <v>0.34779177229231606</v>
      </c>
      <c r="L58" s="121">
        <f>+EECA_data_18!M24</f>
        <v>440</v>
      </c>
      <c r="M58" s="200">
        <f>+EECA_data_18!P24</f>
        <v>18.74419950494234</v>
      </c>
      <c r="N58" s="121"/>
      <c r="O58" s="201">
        <f>+EECA_data_18!N24*EECA_data_18!S24</f>
        <v>3.5672398742959035</v>
      </c>
      <c r="P58" s="130"/>
      <c r="Q58" s="130"/>
      <c r="R58" s="121">
        <v>0</v>
      </c>
      <c r="S58" s="121"/>
      <c r="T58" s="121"/>
      <c r="U58" s="121"/>
      <c r="V58" s="187"/>
      <c r="W58" s="48"/>
      <c r="X58" s="48"/>
      <c r="Y58" s="188"/>
      <c r="AC58" s="193"/>
      <c r="AD58" s="193"/>
      <c r="AE58" s="193"/>
      <c r="AF58" s="193"/>
      <c r="AG58" s="193"/>
    </row>
    <row r="59" spans="2:36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10"/>
        <v>T_P_Bus</v>
      </c>
      <c r="F59" s="120">
        <f>+EECA_data_18!J25</f>
        <v>0.26548125081615598</v>
      </c>
      <c r="G59" s="121">
        <f>+EECA_data_18!K25</f>
        <v>30</v>
      </c>
      <c r="H59" s="120">
        <f>+EECA_data_18!L25*EECA_data_18!S25</f>
        <v>9.7306406123387533E-4</v>
      </c>
      <c r="I59" s="121">
        <v>-1</v>
      </c>
      <c r="J59" s="120">
        <f t="shared" si="8"/>
        <v>0.08</v>
      </c>
      <c r="K59" s="199">
        <f t="shared" si="9"/>
        <v>0.43322550831792977</v>
      </c>
      <c r="L59" s="121">
        <f>+EECA_data_18!M25</f>
        <v>927.40800000000002</v>
      </c>
      <c r="M59" s="200">
        <f>+EECA_data_18!P25</f>
        <v>17.224399545082154</v>
      </c>
      <c r="N59" s="204"/>
      <c r="O59" s="201">
        <f>+EECA_data_18!N25*EECA_data_18!S25</f>
        <v>2.8076141713468082E-2</v>
      </c>
      <c r="P59" s="130"/>
      <c r="Q59" s="130"/>
      <c r="R59" s="121">
        <v>0</v>
      </c>
      <c r="S59" s="121"/>
      <c r="T59" s="121"/>
      <c r="U59" s="121"/>
      <c r="V59" s="187"/>
      <c r="W59" s="48"/>
      <c r="X59" s="48"/>
      <c r="Y59" s="188"/>
    </row>
    <row r="60" spans="2:36" ht="15.75" customHeight="1">
      <c r="C60" s="161" t="str">
        <f t="shared" si="6"/>
        <v>T_F_MTICEPET15</v>
      </c>
      <c r="D60" s="162" t="str">
        <f t="shared" si="3"/>
        <v>TRAPET</v>
      </c>
      <c r="E60" s="161" t="str">
        <f>+$E$12</f>
        <v>T_F_MTrk</v>
      </c>
      <c r="F60" s="163">
        <f>EECA_data_18!J18</f>
        <v>0.13638221628825251</v>
      </c>
      <c r="G60" s="164">
        <f>+EECA_data_18!K18</f>
        <v>34.774647887</v>
      </c>
      <c r="H60" s="247">
        <f>ROUNDUP(EECA_data_18!L18*EECA_data_18!S18,3)</f>
        <v>3.0000000000000001E-3</v>
      </c>
      <c r="I60" s="164">
        <v>-1</v>
      </c>
      <c r="J60" s="163">
        <f t="shared" si="8"/>
        <v>0.08</v>
      </c>
      <c r="K60" s="205">
        <f t="shared" si="9"/>
        <v>4.6859617565256098E-2</v>
      </c>
      <c r="L60" s="164">
        <f>+EECA_data_18!M23</f>
        <v>0</v>
      </c>
      <c r="M60" s="206">
        <f>+EECA_data_18!P18</f>
        <v>3.8</v>
      </c>
      <c r="N60" s="164"/>
      <c r="O60" s="245">
        <f>+EECA_data_18!N18*EECA_data_18!S18</f>
        <v>0.80026261306503377</v>
      </c>
      <c r="P60" s="165"/>
      <c r="Q60" s="165"/>
      <c r="R60" s="164">
        <v>0</v>
      </c>
      <c r="S60" s="164"/>
      <c r="T60" s="164"/>
      <c r="U60" s="164"/>
      <c r="V60" s="187"/>
      <c r="W60" s="48"/>
      <c r="X60" s="48"/>
      <c r="Y60" s="188"/>
      <c r="AF60" s="203"/>
      <c r="AG60" s="203"/>
      <c r="AH60" s="203"/>
      <c r="AI60" s="203"/>
      <c r="AJ60" s="203"/>
    </row>
    <row r="61" spans="2:36" ht="15.75" customHeight="1">
      <c r="C61" s="161" t="str">
        <f t="shared" si="6"/>
        <v>T_F_MTICEDSL15</v>
      </c>
      <c r="D61" s="162" t="str">
        <f t="shared" si="3"/>
        <v>TRADSL</v>
      </c>
      <c r="E61" s="161" t="str">
        <f>+$E$12</f>
        <v>T_F_MTrk</v>
      </c>
      <c r="F61" s="163">
        <f>EECA_data_18!J19</f>
        <v>0.13187233674282225</v>
      </c>
      <c r="G61" s="164">
        <f>+EECA_data_18!K19</f>
        <v>21.981385162999999</v>
      </c>
      <c r="H61" s="247">
        <f>ROUNDUP(EECA_data_18!L19*EECA_data_18!S19,3)</f>
        <v>0.247</v>
      </c>
      <c r="I61" s="164">
        <v>-1</v>
      </c>
      <c r="J61" s="163">
        <f t="shared" si="8"/>
        <v>0.08</v>
      </c>
      <c r="K61" s="205">
        <f t="shared" si="9"/>
        <v>0.13211631073418578</v>
      </c>
      <c r="L61" s="164">
        <f>+EECA_data_18!M24</f>
        <v>440</v>
      </c>
      <c r="M61" s="206">
        <f>+EECA_data_18!P19</f>
        <v>3.8</v>
      </c>
      <c r="N61" s="164"/>
      <c r="O61" s="245">
        <f>+EECA_data_18!N19*EECA_data_18!S19</f>
        <v>23.369559616389537</v>
      </c>
      <c r="P61" s="165"/>
      <c r="Q61" s="165">
        <v>0</v>
      </c>
      <c r="R61" s="164"/>
      <c r="S61" s="164"/>
      <c r="T61" s="164"/>
      <c r="U61" s="164"/>
      <c r="V61" s="187"/>
      <c r="W61" s="48"/>
      <c r="X61" s="48"/>
      <c r="Y61" s="188"/>
    </row>
    <row r="62" spans="2:36" ht="15.75" customHeight="1">
      <c r="C62" s="161" t="str">
        <f t="shared" si="6"/>
        <v>T_F_MBEVELC15</v>
      </c>
      <c r="D62" s="162" t="str">
        <f t="shared" si="3"/>
        <v>TRAELC</v>
      </c>
      <c r="E62" s="161" t="str">
        <f>+$E$12</f>
        <v>T_F_MTrk</v>
      </c>
      <c r="F62" s="163">
        <f>EECA_data_18!J20</f>
        <v>0.60056169190323494</v>
      </c>
      <c r="G62" s="164">
        <f>+EECA_data_18!K20</f>
        <v>21.981385162999999</v>
      </c>
      <c r="H62" s="247">
        <f>EECA_data_18!L20*EECA_data_18!S20</f>
        <v>1.2005053298653222E-5</v>
      </c>
      <c r="I62" s="164">
        <v>-1</v>
      </c>
      <c r="J62" s="163">
        <f t="shared" si="8"/>
        <v>0.08</v>
      </c>
      <c r="K62" s="205">
        <f t="shared" si="9"/>
        <v>1.9530658653846154E-2</v>
      </c>
      <c r="L62" s="164">
        <f>+EECA_data_18!M25</f>
        <v>927.40800000000002</v>
      </c>
      <c r="M62" s="206">
        <f>+EECA_data_18!P20</f>
        <v>3.5</v>
      </c>
      <c r="N62" s="164"/>
      <c r="O62" s="245">
        <f>+EECA_data_18!N20*EECA_data_18!S20</f>
        <v>7.6834667428695999E-3</v>
      </c>
      <c r="P62" s="165"/>
      <c r="Q62" s="165">
        <v>0</v>
      </c>
      <c r="R62" s="164"/>
      <c r="S62" s="164"/>
      <c r="T62" s="164"/>
      <c r="U62" s="164"/>
      <c r="V62" s="187"/>
      <c r="W62" s="48"/>
      <c r="X62" s="48"/>
      <c r="Y62" s="188"/>
    </row>
    <row r="63" spans="2:36" ht="15.75" customHeight="1">
      <c r="C63" s="166" t="str">
        <f t="shared" si="6"/>
        <v>T_F_HTICEDSL15</v>
      </c>
      <c r="D63" s="167" t="str">
        <f t="shared" si="3"/>
        <v>TRADSL</v>
      </c>
      <c r="E63" s="166" t="str">
        <f>E13</f>
        <v>T_F_HTrk</v>
      </c>
      <c r="F63" s="168">
        <f>EECA_data_18!J21</f>
        <v>5.6500000000000002E-2</v>
      </c>
      <c r="G63" s="169">
        <f>+EECA_data_18!K21</f>
        <v>21.981385162999999</v>
      </c>
      <c r="H63" s="168">
        <f>ROUNDUP(EECA_data_18!L21*EECA_data_18!S21,3)</f>
        <v>0.20300000000000001</v>
      </c>
      <c r="I63" s="169">
        <v>-1</v>
      </c>
      <c r="J63" s="168">
        <f t="shared" si="8"/>
        <v>0.08</v>
      </c>
      <c r="K63" s="207">
        <f>+ROUNDUP(H63/J63/O63,3)</f>
        <v>0.14599999999999999</v>
      </c>
      <c r="L63" s="169">
        <f>+EECA_data_18!M21</f>
        <v>200</v>
      </c>
      <c r="M63" s="208">
        <f>+EECA_data_18!P21</f>
        <v>16.440000000000001</v>
      </c>
      <c r="N63" s="169"/>
      <c r="O63" s="209">
        <f>+EECA_data_18!N21*EECA_data_18!S21</f>
        <v>17.435559147281015</v>
      </c>
      <c r="P63" s="170"/>
      <c r="Q63" s="170">
        <v>0</v>
      </c>
      <c r="R63" s="169"/>
      <c r="S63" s="169"/>
      <c r="T63" s="169"/>
      <c r="U63" s="169"/>
      <c r="V63" s="187"/>
      <c r="W63" s="48"/>
      <c r="X63" s="48"/>
      <c r="Y63" s="188"/>
      <c r="AE63" s="203"/>
      <c r="AF63" s="203"/>
      <c r="AG63" s="203"/>
      <c r="AH63" s="203"/>
      <c r="AI63" s="203"/>
      <c r="AJ63" s="203"/>
    </row>
    <row r="64" spans="2:36" ht="15.75" customHeight="1">
      <c r="C64" s="166" t="str">
        <f t="shared" si="6"/>
        <v>T_F_VHTICEDSL15</v>
      </c>
      <c r="D64" s="167" t="str">
        <f t="shared" ref="D64" si="11">"TRA"&amp;LEFT(RIGHT(C64,5),3)</f>
        <v>TRADSL</v>
      </c>
      <c r="E64" s="166" t="str">
        <f>E14</f>
        <v>T_F_VHTrk</v>
      </c>
      <c r="F64" s="168">
        <f>EECA_data_18!J22</f>
        <v>4.7E-2</v>
      </c>
      <c r="G64" s="169">
        <f>+EECA_data_18!K22</f>
        <v>21.981385162999999</v>
      </c>
      <c r="H64" s="168">
        <f>ROUNDUP(EECA_data_18!L22*EECA_data_18!S22,3)</f>
        <v>0.45500000000000002</v>
      </c>
      <c r="I64" s="169">
        <v>-1</v>
      </c>
      <c r="J64" s="168">
        <f t="shared" si="8"/>
        <v>0.08</v>
      </c>
      <c r="K64" s="207">
        <f>+ROUNDUP(H64/J64/O64,3)</f>
        <v>1.4589999999999999</v>
      </c>
      <c r="L64" s="169">
        <f>+EECA_data_18!M22</f>
        <v>300</v>
      </c>
      <c r="M64" s="208">
        <f>+EECA_data_18!P22</f>
        <v>20</v>
      </c>
      <c r="N64" s="169"/>
      <c r="O64" s="209">
        <f>+EECA_data_18!N22*EECA_data_18!S22</f>
        <v>3.9008369617645657</v>
      </c>
      <c r="P64" s="170"/>
      <c r="Q64" s="170"/>
      <c r="R64" s="169"/>
      <c r="S64" s="169"/>
      <c r="T64" s="169"/>
      <c r="U64" s="169"/>
      <c r="V64" s="187"/>
      <c r="W64" s="48"/>
      <c r="X64" s="48"/>
      <c r="Y64" s="188"/>
      <c r="AE64" s="203"/>
      <c r="AF64" s="203"/>
      <c r="AG64" s="203"/>
      <c r="AH64" s="203"/>
      <c r="AI64" s="203"/>
      <c r="AJ64" s="203"/>
    </row>
    <row r="65" spans="2:51" ht="15.75" customHeight="1">
      <c r="C65" s="24" t="str">
        <f t="shared" si="6"/>
        <v>T_F_DSHIPP15</v>
      </c>
      <c r="D65" s="23" t="s">
        <v>107</v>
      </c>
      <c r="E65" s="24" t="str">
        <f>+E17</f>
        <v>T_F_DSHIP</v>
      </c>
      <c r="F65" s="22">
        <v>1</v>
      </c>
      <c r="G65" s="47">
        <v>60</v>
      </c>
      <c r="H65" s="22">
        <f>+EECA_data_18!Q33*EECA_data_18!S33</f>
        <v>2.4027775754842988</v>
      </c>
      <c r="I65" s="47"/>
      <c r="J65" s="22"/>
      <c r="K65" s="210"/>
      <c r="L65" s="22"/>
      <c r="M65" s="22"/>
      <c r="N65" s="22"/>
      <c r="O65" s="133"/>
      <c r="P65" s="47"/>
      <c r="Q65" s="47"/>
      <c r="R65" s="47"/>
      <c r="S65" s="210"/>
      <c r="T65" s="47"/>
      <c r="U65" s="47"/>
      <c r="W65" s="48"/>
      <c r="X65" s="48"/>
      <c r="Y65" s="188"/>
    </row>
    <row r="66" spans="2:51" ht="15.75" customHeight="1">
      <c r="C66" s="24" t="str">
        <f t="shared" si="6"/>
        <v>T_F_ISHIPP15</v>
      </c>
      <c r="D66" s="23" t="s">
        <v>106</v>
      </c>
      <c r="E66" s="24" t="str">
        <f>+E18</f>
        <v>T_F_ISHIP</v>
      </c>
      <c r="F66" s="22">
        <v>1</v>
      </c>
      <c r="G66" s="47">
        <v>60</v>
      </c>
      <c r="H66" s="22">
        <f>+EECA_data_18!Q34*EECA_data_18!S34</f>
        <v>2.8963923568300607</v>
      </c>
      <c r="I66" s="22"/>
      <c r="J66" s="22"/>
      <c r="K66" s="210"/>
      <c r="L66" s="22"/>
      <c r="M66" s="22"/>
      <c r="N66" s="22"/>
      <c r="O66" s="133"/>
      <c r="P66" s="47"/>
      <c r="Q66" s="47"/>
      <c r="R66" s="47"/>
      <c r="S66" s="47"/>
      <c r="T66" s="47"/>
      <c r="U66" s="47"/>
      <c r="W66" s="48"/>
      <c r="X66" s="48"/>
      <c r="Y66" s="188"/>
      <c r="AQ66" s="203"/>
      <c r="AR66" s="203"/>
      <c r="AS66" s="203"/>
      <c r="AT66" s="48"/>
      <c r="AU66" s="48"/>
      <c r="AV66" s="48"/>
      <c r="AW66" s="48"/>
      <c r="AY66" s="48"/>
    </row>
    <row r="67" spans="2:51" ht="15.75" customHeight="1">
      <c r="C67" s="24" t="str">
        <f t="shared" si="6"/>
        <v>T_O_FuelJet</v>
      </c>
      <c r="D67" s="23" t="str">
        <f t="shared" ref="D67" si="12">"TRA"&amp;RIGHT(C67,3)</f>
        <v>TRAJet</v>
      </c>
      <c r="E67" s="24" t="str">
        <f>+E19</f>
        <v>T_O_JET</v>
      </c>
      <c r="F67" s="22">
        <v>1</v>
      </c>
      <c r="G67" s="47">
        <v>60</v>
      </c>
      <c r="H67" s="22">
        <f>+EECA_data_18!Q27*EECA_data_18!S27</f>
        <v>5.5187570918086397</v>
      </c>
      <c r="I67" s="22"/>
      <c r="J67" s="22"/>
      <c r="K67" s="210"/>
      <c r="L67" s="22"/>
      <c r="M67" s="22"/>
      <c r="N67" s="22"/>
      <c r="O67" s="133"/>
      <c r="P67" s="47"/>
      <c r="Q67" s="47"/>
      <c r="R67" s="47"/>
      <c r="S67" s="47"/>
      <c r="T67" s="47"/>
      <c r="U67" s="47"/>
      <c r="W67" s="48"/>
      <c r="X67" s="48"/>
      <c r="Y67" s="188"/>
      <c r="AT67" s="48"/>
      <c r="AU67" s="48"/>
      <c r="AV67" s="48"/>
      <c r="AW67" s="48"/>
      <c r="AY67" s="48"/>
    </row>
    <row r="68" spans="2:51" ht="15.75" customHeight="1">
      <c r="C68" s="24" t="str">
        <f t="shared" si="6"/>
        <v>T_O_FuelJet_Int</v>
      </c>
      <c r="D68" s="24" t="s">
        <v>165</v>
      </c>
      <c r="E68" s="24" t="str">
        <f>+E20</f>
        <v>T_O_JET_Int</v>
      </c>
      <c r="F68" s="22">
        <v>1</v>
      </c>
      <c r="G68" s="47">
        <v>60</v>
      </c>
      <c r="H68" s="22">
        <f>+EECA_data_18!Q28*EECA_data_18!S28</f>
        <v>11.429025798843908</v>
      </c>
      <c r="I68" s="22"/>
      <c r="J68" s="22"/>
      <c r="K68" s="210"/>
      <c r="L68" s="22"/>
      <c r="M68" s="22"/>
      <c r="N68" s="22"/>
      <c r="O68" s="133"/>
      <c r="P68" s="47"/>
      <c r="Q68" s="47"/>
      <c r="R68" s="47"/>
      <c r="S68" s="47"/>
      <c r="T68" s="47"/>
      <c r="U68" s="47"/>
      <c r="W68" s="48"/>
      <c r="X68" s="48"/>
      <c r="Y68" s="188"/>
      <c r="AQ68" s="203"/>
      <c r="AR68" s="203"/>
      <c r="AS68" s="203"/>
      <c r="AY68" s="48"/>
    </row>
    <row r="69" spans="2:51" ht="15.75" customHeight="1">
      <c r="C69" s="24" t="str">
        <f t="shared" si="6"/>
        <v>T_R_Rail15</v>
      </c>
      <c r="D69" s="24" t="str">
        <f>+D58</f>
        <v>TRADSL</v>
      </c>
      <c r="E69" s="24" t="str">
        <f>+E15</f>
        <v>T_F_Rail</v>
      </c>
      <c r="F69" s="22">
        <v>1</v>
      </c>
      <c r="G69" s="47">
        <v>60</v>
      </c>
      <c r="H69" s="22">
        <f>+EECA_data_18!Q29*EECA_data_18!S29+EECA_data_18!Q31*EECA_data_18!S31</f>
        <v>0.42437360979839317</v>
      </c>
      <c r="I69" s="22"/>
      <c r="J69" s="22"/>
      <c r="K69" s="210"/>
      <c r="L69" s="22"/>
      <c r="M69" s="22"/>
      <c r="N69" s="22"/>
      <c r="O69" s="133"/>
      <c r="P69" s="47"/>
      <c r="Q69" s="47"/>
      <c r="R69" s="47"/>
      <c r="S69" s="47"/>
      <c r="T69" s="47"/>
      <c r="U69" s="47"/>
      <c r="W69" s="48"/>
      <c r="X69" s="48"/>
      <c r="Y69" s="188"/>
    </row>
    <row r="70" spans="2:51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22">
        <v>1</v>
      </c>
      <c r="G70" s="47">
        <v>60</v>
      </c>
      <c r="H70" s="22">
        <f>+EECA_data_18!Q30*EECA_data_18!S30+EECA_data_18!Q32*EECA_data_18!S32</f>
        <v>1.4497948717948718E-2</v>
      </c>
      <c r="I70" s="22"/>
      <c r="J70" s="22"/>
      <c r="K70" s="47"/>
      <c r="L70" s="47"/>
      <c r="M70" s="47"/>
      <c r="N70" s="47"/>
      <c r="O70" s="133"/>
      <c r="P70" s="47"/>
      <c r="Q70" s="47"/>
      <c r="R70" s="47"/>
      <c r="S70" s="47"/>
      <c r="T70" s="47"/>
      <c r="U70" s="47"/>
      <c r="W70" s="48"/>
      <c r="X70" s="48"/>
      <c r="Y70" s="188"/>
      <c r="AF70" s="203"/>
      <c r="AG70" s="203"/>
      <c r="AH70" s="203"/>
      <c r="AI70" s="203"/>
      <c r="AJ70" s="203"/>
    </row>
    <row r="71" spans="2:51" ht="15.75" customHeight="1"/>
    <row r="72" spans="2:51" ht="15.75" customHeight="1"/>
    <row r="73" spans="2:51" ht="15.75" customHeight="1">
      <c r="AL73" s="203"/>
      <c r="AM73" s="203"/>
      <c r="AO73" s="203"/>
      <c r="AP73" s="203"/>
    </row>
    <row r="74" spans="2:51" ht="15.75" customHeight="1">
      <c r="C74" s="37" t="s">
        <v>153</v>
      </c>
      <c r="D74" s="38"/>
      <c r="S74" s="48"/>
    </row>
    <row r="75" spans="2:51" ht="15.75" customHeight="1">
      <c r="C75" s="39" t="s">
        <v>0</v>
      </c>
      <c r="D75" s="40">
        <v>2018</v>
      </c>
    </row>
    <row r="76" spans="2:51" ht="15.75" customHeight="1">
      <c r="B76" s="2" t="s">
        <v>85</v>
      </c>
      <c r="C76" s="38" t="str">
        <f t="shared" ref="C76:C81" si="13">+E8</f>
        <v>T_P_Car</v>
      </c>
      <c r="D76" s="46">
        <f t="shared" ref="D76:D88" si="14">+SUMIF($E$42:$E$70,C76,$H$42:$H$70)</f>
        <v>9.3206390888875568</v>
      </c>
      <c r="AA76" s="203"/>
      <c r="AB76" s="203"/>
      <c r="AD76" s="203"/>
      <c r="AE76" s="203"/>
    </row>
    <row r="77" spans="2:51" ht="15.75" customHeight="1">
      <c r="B77" s="2" t="s">
        <v>179</v>
      </c>
      <c r="C77" s="38" t="str">
        <f t="shared" si="13"/>
        <v>T_C_Car</v>
      </c>
      <c r="D77" s="46">
        <f t="shared" si="14"/>
        <v>2.6490182351650708</v>
      </c>
    </row>
    <row r="78" spans="2:51" ht="15.75" customHeight="1">
      <c r="B78" s="2" t="s">
        <v>90</v>
      </c>
      <c r="C78" s="38" t="str">
        <f t="shared" si="13"/>
        <v>T_P_Mcy</v>
      </c>
      <c r="D78" s="46">
        <f t="shared" si="14"/>
        <v>0.11566618930402839</v>
      </c>
    </row>
    <row r="79" spans="2:51" ht="15.75" customHeight="1">
      <c r="B79" s="2" t="s">
        <v>89</v>
      </c>
      <c r="C79" s="38" t="str">
        <f t="shared" si="13"/>
        <v>T_P_Bus</v>
      </c>
      <c r="D79" s="46">
        <f t="shared" si="14"/>
        <v>0.10087430768124507</v>
      </c>
      <c r="H79" s="246"/>
    </row>
    <row r="80" spans="2:51" ht="15.75" customHeight="1">
      <c r="B80" s="2" t="s">
        <v>252</v>
      </c>
      <c r="C80" s="38" t="str">
        <f t="shared" si="13"/>
        <v>T_F_MTrk</v>
      </c>
      <c r="D80" s="46">
        <f t="shared" si="14"/>
        <v>0.25001200505329868</v>
      </c>
      <c r="H80" s="246"/>
    </row>
    <row r="81" spans="2:31" ht="15.75" customHeight="1">
      <c r="B81" s="2" t="s">
        <v>253</v>
      </c>
      <c r="C81" s="38" t="str">
        <f t="shared" si="13"/>
        <v>T_F_HTrk</v>
      </c>
      <c r="D81" s="46">
        <f t="shared" si="14"/>
        <v>0.20300000000000001</v>
      </c>
      <c r="H81" s="246"/>
    </row>
    <row r="82" spans="2:31" ht="15.75" customHeight="1">
      <c r="B82" s="2" t="s">
        <v>322</v>
      </c>
      <c r="C82" s="38" t="s">
        <v>322</v>
      </c>
      <c r="D82" s="46">
        <f t="shared" si="14"/>
        <v>0.45500000000000002</v>
      </c>
    </row>
    <row r="83" spans="2:31" ht="15.75" customHeight="1">
      <c r="B83" s="2" t="s">
        <v>267</v>
      </c>
      <c r="C83" s="38" t="str">
        <f>+E17</f>
        <v>T_F_DSHIP</v>
      </c>
      <c r="D83" s="46">
        <f t="shared" si="14"/>
        <v>2.4027775754842988</v>
      </c>
    </row>
    <row r="84" spans="2:31" ht="15.75" customHeight="1">
      <c r="B84" s="2" t="s">
        <v>268</v>
      </c>
      <c r="C84" s="38" t="str">
        <f>+E18</f>
        <v>T_F_ISHIP</v>
      </c>
      <c r="D84" s="46">
        <f t="shared" si="14"/>
        <v>2.8963923568300607</v>
      </c>
      <c r="S84" s="203"/>
    </row>
    <row r="85" spans="2:31" ht="15.75" customHeight="1">
      <c r="B85" s="2" t="s">
        <v>101</v>
      </c>
      <c r="C85" s="38" t="str">
        <f>+E19</f>
        <v>T_O_JET</v>
      </c>
      <c r="D85" s="46">
        <f t="shared" si="14"/>
        <v>5.5187570918086397</v>
      </c>
    </row>
    <row r="86" spans="2:31" ht="15.75" customHeight="1">
      <c r="B86" s="2" t="s">
        <v>161</v>
      </c>
      <c r="C86" s="38" t="str">
        <f>+E20</f>
        <v>T_O_JET_Int</v>
      </c>
      <c r="D86" s="46">
        <f t="shared" si="14"/>
        <v>11.429025798843908</v>
      </c>
      <c r="S86" s="203"/>
    </row>
    <row r="87" spans="2:31" ht="15.75" customHeight="1">
      <c r="B87" s="2" t="s">
        <v>185</v>
      </c>
      <c r="C87" s="38" t="str">
        <f>+E69</f>
        <v>T_F_Rail</v>
      </c>
      <c r="D87" s="46">
        <f t="shared" si="14"/>
        <v>0.42437360979839317</v>
      </c>
    </row>
    <row r="88" spans="2:31" ht="15.75" customHeight="1">
      <c r="B88" s="2" t="s">
        <v>175</v>
      </c>
      <c r="C88" s="38" t="str">
        <f>+E70</f>
        <v>T_P_Rail</v>
      </c>
      <c r="D88" s="46">
        <f t="shared" si="14"/>
        <v>1.4497948717948718E-2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03"/>
    </row>
    <row r="90" spans="2:31" ht="15.75" customHeight="1">
      <c r="C90" s="38"/>
      <c r="D90" s="46"/>
    </row>
    <row r="91" spans="2:31" ht="15.75" customHeight="1">
      <c r="AE91" s="20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303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107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108</v>
      </c>
    </row>
    <row r="12" spans="2:8">
      <c r="C12" s="1" t="s">
        <v>109</v>
      </c>
    </row>
    <row r="13" spans="2:8">
      <c r="C13" s="1" t="s">
        <v>110</v>
      </c>
      <c r="E13" s="1" t="s">
        <v>111</v>
      </c>
      <c r="G13" s="1" t="s">
        <v>112</v>
      </c>
    </row>
    <row r="14" spans="2:8">
      <c r="C14" s="1" t="s">
        <v>113</v>
      </c>
      <c r="D14" s="1">
        <v>52.3</v>
      </c>
      <c r="E14" s="1" t="s">
        <v>114</v>
      </c>
      <c r="F14" s="1">
        <v>69.67</v>
      </c>
      <c r="G14" s="1" t="s">
        <v>115</v>
      </c>
      <c r="H14" s="1">
        <v>49.17</v>
      </c>
    </row>
    <row r="15" spans="2:8">
      <c r="C15" s="1" t="s">
        <v>116</v>
      </c>
      <c r="D15" s="1">
        <v>53.56</v>
      </c>
      <c r="E15" s="1" t="s">
        <v>117</v>
      </c>
      <c r="F15" s="1">
        <v>66.58</v>
      </c>
      <c r="G15" s="1" t="s">
        <v>118</v>
      </c>
      <c r="H15" s="1">
        <v>89.47</v>
      </c>
    </row>
    <row r="16" spans="2:8">
      <c r="C16" s="1" t="s">
        <v>119</v>
      </c>
      <c r="D16" s="1">
        <v>54.45</v>
      </c>
      <c r="E16" s="1" t="s">
        <v>120</v>
      </c>
      <c r="F16" s="1">
        <v>66.790000000000006</v>
      </c>
      <c r="G16" s="1" t="s">
        <v>121</v>
      </c>
      <c r="H16" s="1">
        <v>64.2</v>
      </c>
    </row>
    <row r="17" spans="3:8">
      <c r="C17" s="1" t="s">
        <v>122</v>
      </c>
      <c r="D17" s="1">
        <v>68.14</v>
      </c>
      <c r="E17" s="1" t="s">
        <v>123</v>
      </c>
      <c r="F17" s="1">
        <v>69.69</v>
      </c>
      <c r="G17" s="1" t="s">
        <v>124</v>
      </c>
      <c r="H17" s="1">
        <v>67.260000000000005</v>
      </c>
    </row>
    <row r="18" spans="3:8">
      <c r="C18" s="1" t="s">
        <v>125</v>
      </c>
      <c r="D18" s="1">
        <v>68.14</v>
      </c>
      <c r="E18" s="1" t="s">
        <v>126</v>
      </c>
      <c r="F18" s="1">
        <v>68.53</v>
      </c>
      <c r="G18" s="1" t="s">
        <v>127</v>
      </c>
      <c r="H18" s="1">
        <v>89.47</v>
      </c>
    </row>
    <row r="19" spans="3:8">
      <c r="C19" s="1" t="s">
        <v>128</v>
      </c>
      <c r="D19" s="1">
        <v>52.72</v>
      </c>
      <c r="E19" s="1" t="s">
        <v>129</v>
      </c>
      <c r="F19" s="1">
        <v>65.89</v>
      </c>
      <c r="G19" s="1" t="s">
        <v>130</v>
      </c>
    </row>
    <row r="20" spans="3:8">
      <c r="C20" s="1" t="s">
        <v>131</v>
      </c>
      <c r="D20" s="1">
        <v>54.44</v>
      </c>
      <c r="E20" s="1" t="s">
        <v>132</v>
      </c>
      <c r="F20" s="1">
        <v>60.43</v>
      </c>
      <c r="G20" s="1" t="s">
        <v>133</v>
      </c>
      <c r="H20" s="1">
        <v>92</v>
      </c>
    </row>
    <row r="21" spans="3:8">
      <c r="C21" s="1" t="s">
        <v>134</v>
      </c>
      <c r="D21" s="1">
        <v>54.79</v>
      </c>
      <c r="E21" s="1" t="s">
        <v>135</v>
      </c>
      <c r="F21" s="1">
        <v>73.63</v>
      </c>
      <c r="G21" s="1" t="s">
        <v>136</v>
      </c>
      <c r="H21" s="1">
        <v>89.1</v>
      </c>
    </row>
    <row r="22" spans="3:8">
      <c r="C22" s="1" t="s">
        <v>137</v>
      </c>
      <c r="D22" s="1">
        <v>54.72</v>
      </c>
      <c r="E22" s="1" t="s">
        <v>138</v>
      </c>
      <c r="F22" s="1">
        <v>72.91</v>
      </c>
      <c r="G22" s="1" t="s">
        <v>139</v>
      </c>
      <c r="H22" s="1">
        <v>93.1</v>
      </c>
    </row>
    <row r="23" spans="3:8">
      <c r="C23" s="1" t="s">
        <v>140</v>
      </c>
      <c r="D23" s="1">
        <v>52.23</v>
      </c>
      <c r="E23" s="1" t="s">
        <v>141</v>
      </c>
      <c r="F23" s="1">
        <v>76.94</v>
      </c>
    </row>
    <row r="24" spans="3:8">
      <c r="C24" s="1" t="s">
        <v>142</v>
      </c>
      <c r="D24" s="1">
        <v>53.22</v>
      </c>
      <c r="G24" s="1" t="s">
        <v>143</v>
      </c>
    </row>
    <row r="25" spans="3:8">
      <c r="C25" s="1" t="s">
        <v>144</v>
      </c>
      <c r="D25" s="1">
        <v>53.96</v>
      </c>
      <c r="G25" s="1" t="s">
        <v>145</v>
      </c>
    </row>
    <row r="26" spans="3:8">
      <c r="C26" s="1" t="s">
        <v>146</v>
      </c>
      <c r="D26" s="1">
        <v>85.54</v>
      </c>
      <c r="G26" s="1" t="s">
        <v>147</v>
      </c>
    </row>
    <row r="27" spans="3:8">
      <c r="C27" s="1" t="s">
        <v>148</v>
      </c>
      <c r="D27" s="1">
        <v>62.44</v>
      </c>
      <c r="G27" s="1" t="s">
        <v>149</v>
      </c>
    </row>
    <row r="28" spans="3:8">
      <c r="C28" s="1" t="s">
        <v>150</v>
      </c>
      <c r="D28" s="1">
        <v>83.97</v>
      </c>
      <c r="G28" s="1" t="s">
        <v>151</v>
      </c>
    </row>
    <row r="29" spans="3:8">
      <c r="G29" s="1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EECA_data_18</vt:lpstr>
      <vt:lpstr>Demand_proj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2024-05-29T04:37:49Z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