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A26233F6-E5A9-4D34-947B-BF18AD4F6506}" xr6:coauthVersionLast="47" xr6:coauthVersionMax="47" xr10:uidLastSave="{00000000-0000-0000-0000-000000000000}"/>
  <bookViews>
    <workbookView xWindow="-120" yWindow="-120" windowWidth="29040" windowHeight="1752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140" l="1"/>
  <c r="AA11" i="140"/>
  <c r="AA12" i="140"/>
  <c r="AA13" i="140"/>
  <c r="AA14" i="140"/>
  <c r="AA15" i="140"/>
  <c r="AA16" i="140"/>
  <c r="AA17" i="140"/>
  <c r="AA9" i="140"/>
  <c r="U9" i="140"/>
  <c r="H9" i="140"/>
  <c r="H10" i="140"/>
  <c r="H11" i="140"/>
  <c r="H12" i="140"/>
  <c r="H13" i="140"/>
  <c r="H14" i="140"/>
  <c r="H15" i="140"/>
  <c r="H16" i="140"/>
  <c r="H17" i="140"/>
  <c r="H8" i="140"/>
  <c r="Z10" i="155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I10" i="155"/>
  <c r="I9" i="155"/>
  <c r="I11" i="155"/>
  <c r="I12" i="155"/>
  <c r="I13" i="155"/>
  <c r="I14" i="155"/>
  <c r="I15" i="155"/>
  <c r="I16" i="155"/>
  <c r="I17" i="155"/>
  <c r="I18" i="155"/>
  <c r="I19" i="155"/>
  <c r="I20" i="155"/>
  <c r="I21" i="155"/>
  <c r="I8" i="155"/>
  <c r="Q22" i="158" l="1"/>
  <c r="N40" i="158"/>
  <c r="Q40" i="158"/>
  <c r="L40" i="158"/>
  <c r="D58" i="160"/>
  <c r="E58" i="160"/>
  <c r="F58" i="160"/>
  <c r="G58" i="160"/>
  <c r="H58" i="160"/>
  <c r="I58" i="160"/>
  <c r="J58" i="160"/>
  <c r="K58" i="160"/>
  <c r="L58" i="160"/>
  <c r="M58" i="160"/>
  <c r="N58" i="160"/>
  <c r="C58" i="160"/>
  <c r="O20" i="158" l="1"/>
  <c r="O18" i="158" l="1"/>
  <c r="N19" i="158"/>
  <c r="N20" i="158"/>
  <c r="N18" i="158"/>
  <c r="M50" i="158"/>
  <c r="M51" i="158"/>
  <c r="M52" i="158"/>
  <c r="L50" i="158"/>
  <c r="Q21" i="158"/>
  <c r="G92" i="155" l="1"/>
  <c r="H92" i="155"/>
  <c r="I92" i="155"/>
  <c r="J92" i="155"/>
  <c r="K92" i="155"/>
  <c r="L92" i="155"/>
  <c r="M92" i="155"/>
  <c r="N92" i="155"/>
  <c r="O92" i="155"/>
  <c r="D53" i="160"/>
  <c r="E53" i="160"/>
  <c r="F53" i="160"/>
  <c r="G53" i="160"/>
  <c r="H53" i="160"/>
  <c r="I53" i="160"/>
  <c r="J53" i="160"/>
  <c r="K53" i="160"/>
  <c r="L53" i="160"/>
  <c r="M53" i="160"/>
  <c r="N53" i="160"/>
  <c r="D54" i="160"/>
  <c r="E54" i="160"/>
  <c r="F54" i="160"/>
  <c r="G54" i="160"/>
  <c r="H54" i="160"/>
  <c r="I54" i="160"/>
  <c r="J54" i="160"/>
  <c r="K54" i="160"/>
  <c r="L54" i="160"/>
  <c r="M54" i="160"/>
  <c r="N54" i="160"/>
  <c r="C54" i="160"/>
  <c r="C53" i="160"/>
  <c r="S42" i="160"/>
  <c r="S41" i="160"/>
  <c r="F73" i="155"/>
  <c r="F72" i="155"/>
  <c r="F51" i="155"/>
  <c r="AA29" i="155"/>
  <c r="O22" i="158"/>
  <c r="O21" i="158"/>
  <c r="O43" i="155" l="1"/>
  <c r="P43" i="155" s="1"/>
  <c r="O42" i="155"/>
  <c r="P42" i="155" s="1"/>
  <c r="R44" i="155"/>
  <c r="T69" i="155" s="1"/>
  <c r="R45" i="155"/>
  <c r="T70" i="155" s="1"/>
  <c r="R43" i="155"/>
  <c r="R42" i="155"/>
  <c r="G73" i="155"/>
  <c r="G72" i="155"/>
  <c r="E73" i="155" l="1"/>
  <c r="C73" i="155"/>
  <c r="D73" i="155" s="1"/>
  <c r="L26" i="140" l="1"/>
  <c r="K33" i="140"/>
  <c r="J33" i="140"/>
  <c r="I33" i="140"/>
  <c r="S32" i="158" l="1"/>
  <c r="S31" i="158"/>
  <c r="S30" i="158"/>
  <c r="S29" i="158"/>
  <c r="S28" i="158"/>
  <c r="S27" i="158"/>
  <c r="S26" i="158"/>
  <c r="S25" i="158"/>
  <c r="S24" i="158"/>
  <c r="S23" i="158"/>
  <c r="S21" i="158"/>
  <c r="S20" i="158"/>
  <c r="S19" i="158"/>
  <c r="K70" i="155" s="1"/>
  <c r="S18" i="158"/>
  <c r="K69" i="155" s="1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K71" i="155" l="1"/>
  <c r="T71" i="155"/>
  <c r="K72" i="155"/>
  <c r="AC72" i="155" s="1"/>
  <c r="T72" i="155"/>
  <c r="S22" i="158"/>
  <c r="S72" i="155"/>
  <c r="L26" i="158"/>
  <c r="L25" i="158"/>
  <c r="L24" i="158"/>
  <c r="L23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K73" i="155" l="1"/>
  <c r="T73" i="155"/>
  <c r="S73" i="155"/>
  <c r="P26" i="158"/>
  <c r="P25" i="158"/>
  <c r="P24" i="158"/>
  <c r="P23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6" i="158"/>
  <c r="M25" i="158"/>
  <c r="M24" i="158"/>
  <c r="M23" i="158"/>
  <c r="M21" i="158"/>
  <c r="P72" i="155" s="1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AC73" i="155" l="1"/>
  <c r="AC75" i="155" s="1"/>
  <c r="M52" i="155"/>
  <c r="M53" i="155" s="1"/>
  <c r="M54" i="155" s="1"/>
  <c r="M55" i="155" s="1"/>
  <c r="M56" i="155" s="1"/>
  <c r="M57" i="155" s="1"/>
  <c r="M60" i="155" s="1"/>
  <c r="M61" i="155" s="1"/>
  <c r="M62" i="155" s="1"/>
  <c r="M63" i="155" s="1"/>
  <c r="M64" i="155" s="1"/>
  <c r="M65" i="155" s="1"/>
  <c r="M66" i="155" s="1"/>
  <c r="M67" i="155" s="1"/>
  <c r="M68" i="155" s="1"/>
  <c r="M69" i="155" s="1"/>
  <c r="N26" i="158"/>
  <c r="T65" i="155" s="1"/>
  <c r="N25" i="158"/>
  <c r="T68" i="155" s="1"/>
  <c r="N24" i="158"/>
  <c r="T67" i="155" s="1"/>
  <c r="N23" i="158"/>
  <c r="T66" i="155" s="1"/>
  <c r="N17" i="158"/>
  <c r="T64" i="155" s="1"/>
  <c r="N16" i="158"/>
  <c r="T63" i="155" s="1"/>
  <c r="N15" i="158"/>
  <c r="T62" i="155" s="1"/>
  <c r="N14" i="158"/>
  <c r="T61" i="155" s="1"/>
  <c r="N13" i="158"/>
  <c r="T60" i="155" s="1"/>
  <c r="N12" i="158"/>
  <c r="N11" i="158"/>
  <c r="T57" i="155" s="1"/>
  <c r="N10" i="158"/>
  <c r="T56" i="155" s="1"/>
  <c r="N9" i="158"/>
  <c r="T55" i="155" s="1"/>
  <c r="N8" i="158"/>
  <c r="T54" i="155" s="1"/>
  <c r="N7" i="158"/>
  <c r="T53" i="155" s="1"/>
  <c r="N6" i="158"/>
  <c r="T52" i="155" s="1"/>
  <c r="N5" i="158"/>
  <c r="M70" i="155" l="1"/>
  <c r="O70" i="155" s="1"/>
  <c r="AE70" i="155" s="1"/>
  <c r="O98" i="155"/>
  <c r="N98" i="155"/>
  <c r="M98" i="155"/>
  <c r="L98" i="155"/>
  <c r="K98" i="155"/>
  <c r="J98" i="155"/>
  <c r="I98" i="155"/>
  <c r="H98" i="155"/>
  <c r="G98" i="155"/>
  <c r="O97" i="155"/>
  <c r="N97" i="155"/>
  <c r="M97" i="155"/>
  <c r="L97" i="155"/>
  <c r="K97" i="155"/>
  <c r="J97" i="155"/>
  <c r="I97" i="155"/>
  <c r="H97" i="155"/>
  <c r="G97" i="155"/>
  <c r="O96" i="155"/>
  <c r="N96" i="155"/>
  <c r="M96" i="155"/>
  <c r="L96" i="155"/>
  <c r="K96" i="155"/>
  <c r="J96" i="155"/>
  <c r="I96" i="155"/>
  <c r="H96" i="155"/>
  <c r="G96" i="155"/>
  <c r="O95" i="155"/>
  <c r="N95" i="155"/>
  <c r="M95" i="155"/>
  <c r="L95" i="155"/>
  <c r="K95" i="155"/>
  <c r="J95" i="155"/>
  <c r="I95" i="155"/>
  <c r="H95" i="155"/>
  <c r="G95" i="155"/>
  <c r="O94" i="155"/>
  <c r="N94" i="155"/>
  <c r="M94" i="155"/>
  <c r="L94" i="155"/>
  <c r="K94" i="155"/>
  <c r="J94" i="155"/>
  <c r="I94" i="155"/>
  <c r="H94" i="155"/>
  <c r="G94" i="155"/>
  <c r="O93" i="155"/>
  <c r="N93" i="155"/>
  <c r="M93" i="155"/>
  <c r="L93" i="155"/>
  <c r="K93" i="155"/>
  <c r="J93" i="155"/>
  <c r="I93" i="155"/>
  <c r="H93" i="155"/>
  <c r="G93" i="155"/>
  <c r="O89" i="155"/>
  <c r="O88" i="155"/>
  <c r="O91" i="155"/>
  <c r="O90" i="155"/>
  <c r="O87" i="155"/>
  <c r="O86" i="155"/>
  <c r="H86" i="155" l="1"/>
  <c r="I86" i="155"/>
  <c r="H90" i="155"/>
  <c r="L91" i="155"/>
  <c r="H88" i="155"/>
  <c r="L86" i="155"/>
  <c r="M71" i="155"/>
  <c r="M86" i="155"/>
  <c r="H87" i="155"/>
  <c r="L88" i="155"/>
  <c r="H89" i="155"/>
  <c r="L87" i="155"/>
  <c r="L89" i="155"/>
  <c r="L90" i="155"/>
  <c r="H91" i="155"/>
  <c r="I87" i="155"/>
  <c r="M87" i="155"/>
  <c r="I90" i="155"/>
  <c r="M90" i="155"/>
  <c r="I91" i="155"/>
  <c r="M91" i="155"/>
  <c r="I88" i="155"/>
  <c r="M88" i="155"/>
  <c r="I89" i="155"/>
  <c r="M89" i="155"/>
  <c r="J86" i="155"/>
  <c r="N87" i="155"/>
  <c r="J90" i="155"/>
  <c r="J91" i="155"/>
  <c r="N91" i="155"/>
  <c r="J88" i="155"/>
  <c r="N88" i="155"/>
  <c r="J89" i="155"/>
  <c r="N89" i="155"/>
  <c r="N86" i="155"/>
  <c r="J87" i="155"/>
  <c r="N90" i="155"/>
  <c r="G86" i="155"/>
  <c r="K86" i="155"/>
  <c r="G87" i="155"/>
  <c r="K87" i="155"/>
  <c r="G90" i="155"/>
  <c r="K90" i="155"/>
  <c r="G91" i="155"/>
  <c r="K91" i="155"/>
  <c r="G88" i="155"/>
  <c r="K88" i="155"/>
  <c r="G89" i="155"/>
  <c r="K89" i="155"/>
  <c r="S83" i="155" l="1"/>
  <c r="O71" i="155"/>
  <c r="AE71" i="155" s="1"/>
  <c r="M72" i="155"/>
  <c r="M73" i="155" l="1"/>
  <c r="O72" i="155"/>
  <c r="N72" i="155"/>
  <c r="N73" i="155" l="1"/>
  <c r="O73" i="155"/>
  <c r="Q34" i="158"/>
  <c r="K75" i="155" s="1"/>
  <c r="Q33" i="158"/>
  <c r="Q32" i="158"/>
  <c r="Q31" i="158"/>
  <c r="Q30" i="158"/>
  <c r="Q29" i="158"/>
  <c r="Q28" i="158"/>
  <c r="Q27" i="158"/>
  <c r="K76" i="155" s="1"/>
  <c r="Q26" i="158"/>
  <c r="O26" i="158"/>
  <c r="K26" i="158"/>
  <c r="J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K21" i="158"/>
  <c r="K20" i="158"/>
  <c r="J20" i="158"/>
  <c r="Q20" i="158" s="1"/>
  <c r="K19" i="158"/>
  <c r="J19" i="158"/>
  <c r="Q19" i="158" s="1"/>
  <c r="K18" i="158"/>
  <c r="J18" i="158"/>
  <c r="Q18" i="158" s="1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G51" i="155" s="1"/>
  <c r="AA58" i="155" s="1"/>
  <c r="J2" i="158"/>
  <c r="H72" i="155" l="1"/>
  <c r="K22" i="158"/>
  <c r="H73" i="155" s="1"/>
  <c r="K78" i="155"/>
  <c r="T51" i="155"/>
  <c r="F60" i="155" l="1"/>
  <c r="F61" i="155"/>
  <c r="F62" i="155"/>
  <c r="F63" i="155"/>
  <c r="F64" i="155"/>
  <c r="F65" i="155"/>
  <c r="F66" i="155"/>
  <c r="F67" i="155"/>
  <c r="F68" i="155"/>
  <c r="F69" i="155"/>
  <c r="F70" i="155"/>
  <c r="F71" i="155"/>
  <c r="K80" i="155" l="1"/>
  <c r="J80" i="155"/>
  <c r="J78" i="155"/>
  <c r="K77" i="155"/>
  <c r="J77" i="155"/>
  <c r="J76" i="155"/>
  <c r="J75" i="155"/>
  <c r="K74" i="155"/>
  <c r="J74" i="155"/>
  <c r="S71" i="155"/>
  <c r="S70" i="155"/>
  <c r="J70" i="155"/>
  <c r="S69" i="155"/>
  <c r="J69" i="155"/>
  <c r="S68" i="155"/>
  <c r="J68" i="155"/>
  <c r="S67" i="155"/>
  <c r="J67" i="155"/>
  <c r="S66" i="155"/>
  <c r="J66" i="155"/>
  <c r="S65" i="155"/>
  <c r="J65" i="155"/>
  <c r="S64" i="155"/>
  <c r="S63" i="155"/>
  <c r="J63" i="155"/>
  <c r="S62" i="155"/>
  <c r="J62" i="155"/>
  <c r="S61" i="155"/>
  <c r="J61" i="155"/>
  <c r="S60" i="155"/>
  <c r="J60" i="155"/>
  <c r="S57" i="155"/>
  <c r="J57" i="155"/>
  <c r="S56" i="155"/>
  <c r="J56" i="155"/>
  <c r="S55" i="155"/>
  <c r="J55" i="155"/>
  <c r="S54" i="155"/>
  <c r="J54" i="155"/>
  <c r="S53" i="155"/>
  <c r="J53" i="155"/>
  <c r="S52" i="155"/>
  <c r="J52" i="155"/>
  <c r="S51" i="155"/>
  <c r="J51" i="155"/>
  <c r="N51" i="155" l="1"/>
  <c r="N55" i="155"/>
  <c r="N53" i="155"/>
  <c r="N54" i="155" s="1"/>
  <c r="N57" i="155"/>
  <c r="N68" i="155"/>
  <c r="N61" i="155"/>
  <c r="N63" i="155"/>
  <c r="N64" i="155" s="1"/>
  <c r="J64" i="155" s="1"/>
  <c r="N65" i="155"/>
  <c r="N69" i="155"/>
  <c r="N60" i="155"/>
  <c r="N67" i="155"/>
  <c r="N52" i="155"/>
  <c r="N56" i="155"/>
  <c r="N62" i="155"/>
  <c r="N66" i="155"/>
  <c r="N70" i="155"/>
  <c r="K68" i="155"/>
  <c r="O68" i="155" s="1"/>
  <c r="N71" i="155" l="1"/>
  <c r="O69" i="155"/>
  <c r="AE69" i="155" s="1"/>
  <c r="C91" i="155"/>
  <c r="C87" i="155"/>
  <c r="F52" i="155" l="1"/>
  <c r="F53" i="155"/>
  <c r="Z59" i="155" s="1"/>
  <c r="F54" i="155"/>
  <c r="F55" i="155"/>
  <c r="F56" i="155"/>
  <c r="Z58" i="155"/>
  <c r="H2" i="159" l="1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T17" i="155"/>
  <c r="C61" i="155" s="1"/>
  <c r="D61" i="155" s="1"/>
  <c r="T18" i="155"/>
  <c r="C62" i="155" s="1"/>
  <c r="T19" i="155"/>
  <c r="C63" i="155" s="1"/>
  <c r="D63" i="155" s="1"/>
  <c r="T20" i="155"/>
  <c r="C64" i="155" s="1"/>
  <c r="D64" i="155" s="1"/>
  <c r="T16" i="155"/>
  <c r="C60" i="155" s="1"/>
  <c r="D60" i="155" s="1"/>
  <c r="AA17" i="155"/>
  <c r="AA18" i="155"/>
  <c r="AA19" i="155"/>
  <c r="AA20" i="155"/>
  <c r="AA16" i="155"/>
  <c r="T10" i="155"/>
  <c r="T11" i="155"/>
  <c r="T12" i="155"/>
  <c r="T13" i="155"/>
  <c r="T14" i="155"/>
  <c r="T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T9" i="155"/>
  <c r="AA10" i="155"/>
  <c r="AA11" i="155"/>
  <c r="AA12" i="155"/>
  <c r="AA13" i="155"/>
  <c r="AA14" i="155"/>
  <c r="AA15" i="155"/>
  <c r="AA9" i="155"/>
  <c r="H51" i="155"/>
  <c r="P51" i="155"/>
  <c r="Q51" i="155"/>
  <c r="G52" i="155"/>
  <c r="K52" i="155"/>
  <c r="O52" i="155" s="1"/>
  <c r="P52" i="155"/>
  <c r="Q52" i="155"/>
  <c r="G53" i="155"/>
  <c r="AA59" i="155" s="1"/>
  <c r="K53" i="155"/>
  <c r="O53" i="155" s="1"/>
  <c r="O54" i="155" s="1"/>
  <c r="P53" i="155"/>
  <c r="Q53" i="155"/>
  <c r="G54" i="155"/>
  <c r="P54" i="155"/>
  <c r="Q54" i="155"/>
  <c r="G55" i="155"/>
  <c r="P55" i="155"/>
  <c r="Q55" i="155"/>
  <c r="G56" i="155"/>
  <c r="K56" i="155"/>
  <c r="O56" i="155" s="1"/>
  <c r="P56" i="155"/>
  <c r="Q56" i="155"/>
  <c r="K57" i="155"/>
  <c r="O57" i="155" s="1"/>
  <c r="P57" i="155"/>
  <c r="Q57" i="155"/>
  <c r="G60" i="155"/>
  <c r="H60" i="155"/>
  <c r="P60" i="155"/>
  <c r="Q60" i="155"/>
  <c r="G61" i="155"/>
  <c r="H61" i="155"/>
  <c r="P61" i="155"/>
  <c r="Q61" i="155"/>
  <c r="G62" i="155"/>
  <c r="H62" i="155"/>
  <c r="P62" i="155"/>
  <c r="Q62" i="155"/>
  <c r="G63" i="155"/>
  <c r="H63" i="155"/>
  <c r="P63" i="155"/>
  <c r="Q63" i="155"/>
  <c r="G64" i="155"/>
  <c r="H64" i="155"/>
  <c r="P64" i="155"/>
  <c r="Q64" i="155"/>
  <c r="G69" i="155"/>
  <c r="AC69" i="155" s="1"/>
  <c r="H69" i="155"/>
  <c r="Q69" i="155"/>
  <c r="G70" i="155"/>
  <c r="AC70" i="155" s="1"/>
  <c r="H70" i="155"/>
  <c r="Q70" i="155"/>
  <c r="G71" i="155"/>
  <c r="AC71" i="155" s="1"/>
  <c r="H71" i="155"/>
  <c r="Q71" i="155"/>
  <c r="Q72" i="155"/>
  <c r="G66" i="155"/>
  <c r="H66" i="155"/>
  <c r="Q66" i="155"/>
  <c r="K66" i="155"/>
  <c r="O66" i="155" s="1"/>
  <c r="G67" i="155"/>
  <c r="H67" i="155"/>
  <c r="K67" i="155"/>
  <c r="O67" i="155" s="1"/>
  <c r="Q67" i="155"/>
  <c r="G68" i="155"/>
  <c r="H68" i="155"/>
  <c r="Q68" i="155"/>
  <c r="G65" i="155"/>
  <c r="H65" i="155"/>
  <c r="Q65" i="155"/>
  <c r="P65" i="155" l="1"/>
  <c r="P68" i="155"/>
  <c r="P71" i="155"/>
  <c r="K63" i="155"/>
  <c r="O63" i="155" s="1"/>
  <c r="O64" i="155" s="1"/>
  <c r="K64" i="155" s="1"/>
  <c r="X59" i="155"/>
  <c r="X58" i="155"/>
  <c r="H56" i="155"/>
  <c r="K55" i="155"/>
  <c r="O55" i="155" s="1"/>
  <c r="H52" i="155"/>
  <c r="K51" i="155"/>
  <c r="P66" i="155"/>
  <c r="P69" i="155"/>
  <c r="H54" i="155"/>
  <c r="H57" i="155"/>
  <c r="H53" i="155"/>
  <c r="K65" i="155"/>
  <c r="O65" i="155" s="1"/>
  <c r="P67" i="155"/>
  <c r="P70" i="155"/>
  <c r="H55" i="155"/>
  <c r="K54" i="155"/>
  <c r="K60" i="155"/>
  <c r="O60" i="155" s="1"/>
  <c r="K62" i="155"/>
  <c r="O62" i="155" s="1"/>
  <c r="K61" i="155"/>
  <c r="O61" i="155" s="1"/>
  <c r="O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B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F86" i="155" l="1"/>
  <c r="E51" i="155"/>
  <c r="F92" i="155" l="1"/>
  <c r="F90" i="155"/>
  <c r="F93" i="155"/>
  <c r="F97" i="155"/>
  <c r="F91" i="155"/>
  <c r="F94" i="155"/>
  <c r="D95" i="155"/>
  <c r="D96" i="155"/>
  <c r="D93" i="155"/>
  <c r="D98" i="155"/>
  <c r="F98" i="155"/>
  <c r="D91" i="155"/>
  <c r="D94" i="155"/>
  <c r="D97" i="155"/>
  <c r="F95" i="155"/>
  <c r="D87" i="155"/>
  <c r="F96" i="155"/>
  <c r="F88" i="155"/>
  <c r="D89" i="155"/>
  <c r="F89" i="155"/>
  <c r="D88" i="155"/>
  <c r="F87" i="155"/>
  <c r="D86" i="155"/>
  <c r="E86" i="155" s="1"/>
  <c r="C65" i="155"/>
  <c r="D65" i="155" s="1"/>
  <c r="C51" i="155"/>
  <c r="D4" i="149"/>
  <c r="G4" i="149"/>
  <c r="F4" i="149"/>
  <c r="E4" i="149"/>
  <c r="C4" i="149"/>
  <c r="B6" i="149"/>
  <c r="AB15" i="140"/>
  <c r="C25" i="140"/>
  <c r="C26" i="140"/>
  <c r="C27" i="140"/>
  <c r="C28" i="140"/>
  <c r="AB16" i="140"/>
  <c r="AB10" i="140"/>
  <c r="AB11" i="140"/>
  <c r="AB12" i="140"/>
  <c r="AB13" i="140"/>
  <c r="AB14" i="140"/>
  <c r="AB9" i="140"/>
  <c r="B24" i="140"/>
  <c r="C24" i="140" s="1"/>
  <c r="E97" i="155" l="1"/>
  <c r="E98" i="155"/>
  <c r="E88" i="155"/>
  <c r="E93" i="155"/>
  <c r="E89" i="155"/>
  <c r="E94" i="155"/>
  <c r="E96" i="155"/>
  <c r="E95" i="155"/>
  <c r="E87" i="155"/>
  <c r="E91" i="155"/>
  <c r="D51" i="155"/>
  <c r="D24" i="140"/>
  <c r="J71" i="155" l="1"/>
  <c r="D90" i="155" s="1"/>
  <c r="E90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K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<sst xmlns="http://schemas.openxmlformats.org/spreadsheetml/2006/main" count="1278" uniqueCount="385">
  <si>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</si>
  <si>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</si>
  <si>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</si>
  <si>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</si>
  <si>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</si>
  <si>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</si>
  <si>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</si>
  <si>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</si>
  <si>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</si>
  <si>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</si>
  <si>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</si>
  <si>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</si>
  <si>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</si>
  <si>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</si>
  <si>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</si>
  <si>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</si>
  <si>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</si>
  <si>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</si>
  <si>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</si>
  <si>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</si>
  <si>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</si>
  <si>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</si>
  <si>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</si>
  <si>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</si>
  <si>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</si>
  <si>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</si>
  <si>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</si>
  <si>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</si>
  <si>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</si>
  <si>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</si>
  <si>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</si>
  <si>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</si>
  <si>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</si>
  <si>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</si>
  <si>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</si>
  <si>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</si>
  <si>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</si>
  <si>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</si>
  <si>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</si>
  <si>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</si>
  <si>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</si>
  <si>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</si>
  <si>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</si>
  <si>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</si>
  <si>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</si>
  <si>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</si>
  <si>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</si>
  <si>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</si>
  <si>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</si>
  <si>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</si>
  <si>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</si>
  <si>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</si>
  <si>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</si>
  <si>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</si>
  <si>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</si>
  <si>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</si>
  <si>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</si>
  <si>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</si>
  <si>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</si>
  <si>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</si>
  <si>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</si>
  <si>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</si>
  <si>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</si>
  <si>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</si>
  <si>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</si>
  <si>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</si>
  <si>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</si>
  <si>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</si>
  <si>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</si>
  <si>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</si>
  <si>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</si>
  <si>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</si>
  <si>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</si>
  <si>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</si>
  <si>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</si>
  <si>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</si>
  <si>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</si>
  <si>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</si>
  <si>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</si>
  <si>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</si>
  <si>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</si>
  <si>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</si>
  <si>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</si>
  <si>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</si>
  <si>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</si>
  <si>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</si>
  <si>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</si>
  <si>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</si>
  <si>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</si>
  <si>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</si>
  <si>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</si>
  <si>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</si>
  <si>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</si>
  <si>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</si>
  <si>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</si>
  <si>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</si>
  <si>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</si>
  <si>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</si>
  <si>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</si>
  <si>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</si>
  <si>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</si>
  <si>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</si>
  <si>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</si>
  <si>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</si>
  <si>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</si>
  <si>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</si>
  <si>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</si>
  <si>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</si>
  <si>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</si>
  <si>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</si>
  <si>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</si>
  <si>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</si>
  <si>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</si>
  <si>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</si>
  <si>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</si>
  <si>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</si>
  <si>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</si>
  <si>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</si>
  <si>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</si>
  <si>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</si>
  <si>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</si>
  <si>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</si>
  <si>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</si>
  <si>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</si>
  <si>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</si>
  <si>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</si>
  <si>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</si>
  <si>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</si>
  <si>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</si>
  <si>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</si>
  <si>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</si>
  <si>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</si>
  <si>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</si>
  <si>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</si>
  <si>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</si>
  <si>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</si>
  <si>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</si>
  <si>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</si>
  <si>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</si>
  <si>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</si>
  <si>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</si>
  <si>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</si>
  <si>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</si>
  <si>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</si>
  <si>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</si>
  <si>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</si>
  <si>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</si>
  <si>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</si>
  <si>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</si>
  <si>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</si>
  <si>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</si>
  <si>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</si>
  <si>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</si>
  <si>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</si>
  <si>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</si>
  <si>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</si>
  <si>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</si>
  <si>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</si>
  <si>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</si>
  <si>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</si>
  <si>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</si>
  <si>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</si>
  <si>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</si>
  <si>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</si>
  <si>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</si>
  <si>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</si>
  <si>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</si>
  <si>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</si>
  <si>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</si>
  <si>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</si>
  <si>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</si>
  <si>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</si>
  <si>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</si>
  <si>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</si>
  <si>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</si>
  <si>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</si>
  <si>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</si>
  <si>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</si>
  <si>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</si>
  <si>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</si>
  <si>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</si>
  <si>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</si>
  <si>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</si>
  <si>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</si>
  <si>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</si>
  <si>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</si>
  <si>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</si>
  <si>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</si>
  <si>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</si>
  <si>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</si>
  <si>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</si>
  <si>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</si>
  <si>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</si>
  <si>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</si>
  <si>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</si>
  <si>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</si>
  <si>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</si>
  <si>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</si>
  <si>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</si>
  <si>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</si>
  <si>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</si>
  <si>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</si>
  <si>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</si>
  <si>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</si>
  <si>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</si>
  <si>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</si>
  <si>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</si>
  <si>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</si>
  <si>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</si>
  <si>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</si>
  <si>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</si>
  <si>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</si>
  <si>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</si>
  <si>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</si>
  <si>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</si>
  <si>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</si>
  <si>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</si>
  <si>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</si>
  <si>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</si>
  <si>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</si>
  <si>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</si>
  <si>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</si>
  <si>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</si>
  <si>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</si>
  <si>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</si>
  <si>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</si>
  <si>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</si>
  <si>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</si>
  <si>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</si>
  <si>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</si>
  <si>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</si>
  <si>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</si>
  <si>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</si>
  <si>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</si>
  <si>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</si>
  <si>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</si>
  <si>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</si>
  <si>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</si>
  <si>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</si>
  <si>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</si>
  <si>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</si>
  <si>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</si>
  <si>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</si>
  <si>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</si>
  <si>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</si>
  <si>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</si>
  <si>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</si>
  <si>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</si>
  <si>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</si>
  <si>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</si>
  <si>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</si>
  <si>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</si>
  <si>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</si>
  <si>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</si>
  <si>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</si>
  <si>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</si>
  <si>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</si>
  <si>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</si>
  <si>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</si>
  <si>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</si>
  <si>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</si>
  <si>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</si>
  <si>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</si>
  <si>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</si>
  <si>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</si>
  <si>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</si>
  <si>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</si>
  <si>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</si>
  <si>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</si>
  <si>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</si>
  <si>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</si>
  <si>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</si>
  <si>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</si>
  <si>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</si>
  <si>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</si>
  <si>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</si>
  <si>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</si>
  <si>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</si>
  <si>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</si>
  <si>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</si>
  <si>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</si>
  <si>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</si>
  <si>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</si>
  <si>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</si>
  <si>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</si>
  <si>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</si>
  <si>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</si>
  <si>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</si>
  <si>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</si>
  <si>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</si>
  <si>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</si>
  <si>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</si>
  <si>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</si>
  <si>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</si>
  <si>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</si>
  <si>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</si>
  <si>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</si>
  <si>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</si>
  <si>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</si>
  <si>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</si>
  <si>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</si>
  <si>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</si>
  <si>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</si>
  <si>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</si>
  <si>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</si>
  <si>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</si>
  <si>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</si>
  <si>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</si>
  <si>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</si>
  <si>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</si>
  <si>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</si>
  <si>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</si>
  <si>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</si>
  <si>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</si>
  <si>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</si>
  <si>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</si>
  <si>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</si>
  <si>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</si>
  <si>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</si>
  <si>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</si>
  <si>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</si>
  <si>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</si>
  <si>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</si>
  <si>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</si>
  <si>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</si>
  <si>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</si>
  <si>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</si>
  <si>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</si>
  <si>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</si>
  <si>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</si>
  <si>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</si>
  <si>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</si>
  <si>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</si>
  <si>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</si>
  <si>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</si>
  <si>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</si>
  <si>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</si>
  <si>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</si>
  <si>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</si>
  <si>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</si>
  <si>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</si>
  <si>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</si>
  <si>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</si>
  <si>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</si>
  <si>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</si>
  <si>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</si>
  <si>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</si>
  <si>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</si>
  <si>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</si>
  <si>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</si>
  <si>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</si>
  <si>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</si>
  <si>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</si>
  <si>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</si>
  <si>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</si>
  <si>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</si>
  <si>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</si>
  <si>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Fuel/Enduse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</si>
  <si>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</si>
  <si>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</si>
  <si>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</si>
  <si>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</si>
  <si>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</si>
  <si>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</si>
  <si>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</si>
  <si>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</si>
  <si>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</si>
  <si>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</si>
  <si>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</si>
  <si>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</si>
  <si>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</si>
  <si>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</si>
  <si>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</si>
  <si>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</si>
  <si>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</si>
  <si>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</si>
  <si>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</si>
  <si>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</si>
  <si>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</si>
  <si>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</si>
  <si>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</si>
  <si>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</si>
  <si>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</si>
  <si>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CO2 emissions</t>
  </si>
  <si>
    <t>T_R_Rail15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</si>
</sst>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7" fillId="29" borderId="0" applyNumberFormat="0" applyBorder="0" applyAlignment="0" applyProtection="0"/>
    <xf numFmtId="43" fontId="37" fillId="0" borderId="0" applyFont="0" applyFill="0" applyBorder="0" applyAlignment="0" applyProtection="0"/>
    <xf numFmtId="0" fontId="49" fillId="5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6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55" fillId="0" borderId="0"/>
    <xf numFmtId="0" fontId="19" fillId="0" borderId="0"/>
    <xf numFmtId="0" fontId="72" fillId="0" borderId="0" applyNumberFormat="0" applyFill="0" applyBorder="0" applyAlignment="0" applyProtection="0">
      <alignment vertical="top"/>
      <protection locked="0"/>
    </xf>
    <xf numFmtId="168" fontId="14" fillId="0" borderId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6" fontId="19" fillId="0" borderId="0"/>
    <xf numFmtId="166" fontId="19" fillId="0" borderId="0"/>
    <xf numFmtId="166" fontId="19" fillId="0" borderId="0"/>
    <xf numFmtId="0" fontId="14" fillId="0" borderId="0"/>
    <xf numFmtId="166" fontId="19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168" fontId="19" fillId="0" borderId="0"/>
    <xf numFmtId="0" fontId="14" fillId="0" borderId="0"/>
    <xf numFmtId="0" fontId="14" fillId="0" borderId="0"/>
    <xf numFmtId="166" fontId="19" fillId="0" borderId="0"/>
    <xf numFmtId="0" fontId="66" fillId="0" borderId="0"/>
    <xf numFmtId="168" fontId="66" fillId="0" borderId="0"/>
    <xf numFmtId="166" fontId="19" fillId="0" borderId="0"/>
    <xf numFmtId="0" fontId="14" fillId="0" borderId="0" applyBorder="0"/>
    <xf numFmtId="168" fontId="14" fillId="0" borderId="0" applyBorder="0"/>
    <xf numFmtId="0" fontId="14" fillId="0" borderId="0"/>
    <xf numFmtId="168" fontId="14" fillId="0" borderId="0"/>
    <xf numFmtId="0" fontId="68" fillId="0" borderId="0"/>
    <xf numFmtId="0" fontId="68" fillId="0" borderId="0"/>
    <xf numFmtId="0" fontId="6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7" fillId="0" borderId="0"/>
    <xf numFmtId="169" fontId="76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169" fontId="19" fillId="60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60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169" fontId="19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169" fontId="19" fillId="63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6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169" fontId="19" fillId="6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66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169" fontId="19" fillId="62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0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169" fontId="19" fillId="6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6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6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169" fontId="19" fillId="6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69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169" fontId="19" fillId="70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169" fontId="19" fillId="7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169" fontId="19" fillId="6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169" fontId="19" fillId="6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74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169" fontId="19" fillId="7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67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169" fontId="20" fillId="76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7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70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169" fontId="20" fillId="7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169" fontId="20" fillId="72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7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7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169" fontId="20" fillId="7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169" fontId="20" fillId="80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67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8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169" fontId="20" fillId="82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79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83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169" fontId="20" fillId="8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85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169" fontId="20" fillId="8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169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7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9" fontId="77" fillId="0" borderId="0"/>
    <xf numFmtId="169" fontId="67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78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40" fillId="50" borderId="15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89" borderId="1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69" fontId="22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20" borderId="1" applyNumberFormat="0" applyAlignment="0" applyProtection="0"/>
    <xf numFmtId="0" fontId="22" fillId="20" borderId="1" applyNumberFormat="0" applyAlignment="0" applyProtection="0"/>
    <xf numFmtId="169" fontId="22" fillId="20" borderId="1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22" fillId="20" borderId="1" applyNumberFormat="0" applyAlignment="0" applyProtection="0"/>
    <xf numFmtId="171" fontId="14" fillId="0" borderId="0"/>
    <xf numFmtId="172" fontId="14" fillId="0" borderId="0"/>
    <xf numFmtId="173" fontId="14" fillId="0" borderId="0"/>
    <xf numFmtId="174" fontId="14" fillId="0" borderId="0"/>
    <xf numFmtId="175" fontId="14" fillId="0" borderId="0"/>
    <xf numFmtId="17" fontId="14" fillId="0" borderId="0"/>
    <xf numFmtId="20" fontId="14" fillId="0" borderId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14" fillId="0" borderId="0" applyFont="0" applyFill="0" applyBorder="0" applyAlignment="0" applyProtection="0"/>
    <xf numFmtId="169" fontId="14" fillId="0" borderId="0" applyBorder="0"/>
    <xf numFmtId="169" fontId="14" fillId="0" borderId="0" applyBorder="0"/>
    <xf numFmtId="169" fontId="14" fillId="0" borderId="0" applyBorder="0"/>
    <xf numFmtId="169" fontId="13" fillId="0" borderId="0"/>
    <xf numFmtId="169" fontId="13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14" fillId="0" borderId="0">
      <alignment horizontal="center"/>
    </xf>
    <xf numFmtId="169" fontId="14" fillId="0" borderId="0">
      <alignment wrapText="1"/>
    </xf>
    <xf numFmtId="169" fontId="75" fillId="0" borderId="0"/>
    <xf numFmtId="169" fontId="70" fillId="0" borderId="0"/>
    <xf numFmtId="169" fontId="70" fillId="0" borderId="0"/>
    <xf numFmtId="169" fontId="70" fillId="0" borderId="0"/>
    <xf numFmtId="169" fontId="70" fillId="0" borderId="0"/>
    <xf numFmtId="169" fontId="82" fillId="0" borderId="0"/>
    <xf numFmtId="164" fontId="66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84" fillId="0" borderId="0"/>
    <xf numFmtId="169" fontId="85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63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169" fontId="25" fillId="9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169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8" applyNumberFormat="0" applyFill="0" applyAlignment="0" applyProtection="0"/>
    <xf numFmtId="169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169" fontId="86" fillId="0" borderId="28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29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4" applyNumberFormat="0" applyFill="0" applyAlignment="0" applyProtection="0"/>
    <xf numFmtId="169" fontId="8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30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1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2" applyNumberFormat="0" applyFill="0" applyAlignment="0" applyProtection="0"/>
    <xf numFmtId="169" fontId="88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3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8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1" fontId="71" fillId="92" borderId="0"/>
    <xf numFmtId="172" fontId="71" fillId="92" borderId="0"/>
    <xf numFmtId="173" fontId="71" fillId="92" borderId="0"/>
    <xf numFmtId="169" fontId="14" fillId="92" borderId="0">
      <protection locked="0"/>
    </xf>
    <xf numFmtId="176" fontId="14" fillId="92" borderId="0">
      <protection locked="0"/>
    </xf>
    <xf numFmtId="174" fontId="14" fillId="92" borderId="0">
      <protection locked="0"/>
    </xf>
    <xf numFmtId="175" fontId="14" fillId="92" borderId="0">
      <protection locked="0"/>
    </xf>
    <xf numFmtId="17" fontId="14" fillId="92" borderId="0">
      <protection locked="0"/>
    </xf>
    <xf numFmtId="20" fontId="14" fillId="92" borderId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7" borderId="1" applyNumberFormat="0" applyAlignment="0" applyProtection="0"/>
    <xf numFmtId="0" fontId="29" fillId="7" borderId="1" applyNumberFormat="0" applyAlignment="0" applyProtection="0"/>
    <xf numFmtId="169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169" fontId="14" fillId="92" borderId="0">
      <protection locked="0"/>
    </xf>
    <xf numFmtId="169" fontId="14" fillId="92" borderId="0">
      <protection locked="0"/>
    </xf>
    <xf numFmtId="169" fontId="13" fillId="92" borderId="0">
      <protection locked="0"/>
    </xf>
    <xf numFmtId="169" fontId="14" fillId="92" borderId="0">
      <alignment horizontal="center"/>
      <protection locked="0"/>
    </xf>
    <xf numFmtId="169" fontId="14" fillId="92" borderId="0">
      <protection locked="0"/>
    </xf>
    <xf numFmtId="169" fontId="14" fillId="92" borderId="0"/>
    <xf numFmtId="169" fontId="14" fillId="92" borderId="0">
      <alignment wrapText="1"/>
      <protection locked="0"/>
    </xf>
    <xf numFmtId="169" fontId="75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82" fillId="92" borderId="0">
      <protection locked="0"/>
    </xf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5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89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1" fontId="70" fillId="0" borderId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169" fontId="14" fillId="0" borderId="0"/>
    <xf numFmtId="169" fontId="14" fillId="0" borderId="0"/>
    <xf numFmtId="0" fontId="66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0" fontId="56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169" fontId="68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/>
    <xf numFmtId="0" fontId="14" fillId="0" borderId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56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169" fontId="83" fillId="94" borderId="7" applyNumberForma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177" fontId="74" fillId="0" borderId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169" fontId="32" fillId="60" borderId="8" applyNumberFormat="0" applyAlignment="0" applyProtection="0"/>
    <xf numFmtId="169" fontId="32" fillId="60" borderId="8" applyNumberFormat="0" applyAlignment="0" applyProtection="0"/>
    <xf numFmtId="169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20" borderId="8" applyNumberFormat="0" applyAlignment="0" applyProtection="0"/>
    <xf numFmtId="0" fontId="32" fillId="20" borderId="8" applyNumberFormat="0" applyAlignment="0" applyProtection="0"/>
    <xf numFmtId="169" fontId="32" fillId="20" borderId="8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6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14" fillId="0" borderId="0" applyFont="0" applyFill="0" applyBorder="0" applyAlignment="0" applyProtection="0"/>
    <xf numFmtId="9" fontId="83" fillId="0" borderId="0" applyFill="0" applyBorder="0" applyAlignment="0" applyProtection="0"/>
    <xf numFmtId="9" fontId="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69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69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83" fillId="96" borderId="0" applyNumberForma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68" fillId="95" borderId="0" applyNumberFormat="0" applyFont="0" applyBorder="0" applyAlignment="0" applyProtection="0"/>
    <xf numFmtId="171" fontId="14" fillId="0" borderId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5" borderId="26" applyProtection="0">
      <alignment horizontal="center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37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6" fillId="0" borderId="0">
      <alignment horizontal="center"/>
    </xf>
    <xf numFmtId="169" fontId="97" fillId="66" borderId="0"/>
    <xf numFmtId="169" fontId="98" fillId="99" borderId="0"/>
    <xf numFmtId="169" fontId="97" fillId="66" borderId="0"/>
    <xf numFmtId="169" fontId="97" fillId="59" borderId="0"/>
    <xf numFmtId="169" fontId="99" fillId="66" borderId="26">
      <alignment horizontal="center" vertical="center"/>
    </xf>
    <xf numFmtId="169" fontId="99" fillId="66" borderId="26">
      <alignment horizontal="center" vertical="center"/>
    </xf>
    <xf numFmtId="169" fontId="99" fillId="66" borderId="26">
      <alignment horizontal="center" vertical="center"/>
    </xf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0" borderId="8" applyNumberFormat="0" applyAlignment="0" applyProtection="0"/>
    <xf numFmtId="0" fontId="22" fillId="20" borderId="1" applyNumberFormat="0" applyAlignment="0" applyProtection="0"/>
    <xf numFmtId="0" fontId="29" fillId="7" borderId="1" applyNumberFormat="0" applyAlignment="0" applyProtection="0"/>
    <xf numFmtId="0" fontId="34" fillId="0" borderId="9" applyNumberFormat="0" applyFill="0" applyAlignment="0" applyProtection="0"/>
    <xf numFmtId="0" fontId="24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14" fillId="23" borderId="7" applyNumberFormat="0" applyFont="0" applyAlignment="0" applyProtection="0"/>
    <xf numFmtId="0" fontId="21" fillId="3" borderId="0" applyNumberFormat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23" fillId="21" borderId="2" applyNumberFormat="0" applyAlignment="0" applyProtection="0"/>
    <xf numFmtId="0" fontId="37" fillId="0" borderId="0"/>
    <xf numFmtId="0" fontId="37" fillId="0" borderId="0"/>
    <xf numFmtId="0" fontId="37" fillId="0" borderId="0"/>
    <xf numFmtId="9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0" fontId="3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20" borderId="1" applyNumberFormat="0" applyAlignment="0" applyProtection="0"/>
    <xf numFmtId="0" fontId="30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9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9" fillId="7" borderId="1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1" fillId="53" borderId="15" applyNumberFormat="0" applyAlignment="0" applyProtection="0"/>
    <xf numFmtId="0" fontId="21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1" fillId="22" borderId="0" applyNumberFormat="0" applyBorder="0" applyAlignment="0" applyProtection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 applyNumberFormat="0" applyFill="0" applyBorder="0" applyProtection="0">
      <alignment horizontal="left" vertical="center"/>
    </xf>
    <xf numFmtId="4" fontId="14" fillId="103" borderId="0" applyNumberFormat="0" applyFont="0" applyBorder="0" applyAlignment="0" applyProtection="0"/>
    <xf numFmtId="4" fontId="14" fillId="103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4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32" fillId="20" borderId="8" applyNumberFormat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3" fillId="21" borderId="2" applyNumberFormat="0" applyAlignment="0" applyProtection="0"/>
    <xf numFmtId="4" fontId="100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9" fontId="3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96" fillId="101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0" borderId="0"/>
    <xf numFmtId="0" fontId="37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5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/>
    <xf numFmtId="0" fontId="37" fillId="0" borderId="0"/>
    <xf numFmtId="0" fontId="54" fillId="0" borderId="0"/>
    <xf numFmtId="0" fontId="58" fillId="0" borderId="0"/>
    <xf numFmtId="0" fontId="5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47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7" fillId="53" borderId="15" applyNumberFormat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7" fillId="0" borderId="0" applyNumberForma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40" fillId="89" borderId="15" applyNumberFormat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58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40" fillId="50" borderId="15" applyNumberFormat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67" fillId="102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10" fillId="0" borderId="0" applyFont="0" applyFill="0" applyBorder="0" applyAlignment="0" applyProtection="0"/>
    <xf numFmtId="165" fontId="113" fillId="0" borderId="0" applyFont="0" applyFill="0" applyBorder="0" applyAlignment="0" applyProtection="0"/>
    <xf numFmtId="0" fontId="1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4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8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7" applyNumberFormat="0" applyBorder="0" applyProtection="0">
      <alignment horizontal="left"/>
    </xf>
    <xf numFmtId="4" fontId="116" fillId="0" borderId="48" applyNumberFormat="0" applyFont="0" applyFill="0" applyAlignment="0" applyProtection="0"/>
    <xf numFmtId="186" fontId="11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14" fillId="0" borderId="0"/>
    <xf numFmtId="0" fontId="14" fillId="0" borderId="0"/>
    <xf numFmtId="0" fontId="1" fillId="29" borderId="0" applyNumberFormat="0" applyBorder="0" applyAlignment="0" applyProtection="0"/>
    <xf numFmtId="0" fontId="14" fillId="0" borderId="0"/>
  </cellStyleXfs>
  <cellXfs count="407">
    <xf numFmtId="0" fontId="0" fillId="0" borderId="0" xfId="0"/>
    <xf numFmtId="0" fontId="60" fillId="0" borderId="0" xfId="0" applyFont="1"/>
    <xf numFmtId="0" fontId="60" fillId="0" borderId="0" xfId="0" applyFont="1" applyAlignment="1">
      <alignment horizontal="left" vertical="top"/>
    </xf>
    <xf numFmtId="167" fontId="63" fillId="0" borderId="0" xfId="0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1" xfId="1" applyNumberFormat="1" applyFont="1" applyBorder="1" applyAlignment="1">
      <alignment horizontal="left" vertical="top" wrapText="1"/>
    </xf>
    <xf numFmtId="0" fontId="60" fillId="0" borderId="0" xfId="4" applyFont="1" applyAlignment="1">
      <alignment horizontal="left" vertical="top"/>
    </xf>
    <xf numFmtId="0" fontId="60" fillId="0" borderId="0" xfId="4" applyFont="1" applyAlignment="1">
      <alignment horizontal="left" vertical="top" wrapText="1"/>
    </xf>
    <xf numFmtId="0" fontId="63" fillId="0" borderId="0" xfId="6" applyFont="1" applyAlignment="1">
      <alignment horizontal="left" vertical="top"/>
    </xf>
    <xf numFmtId="0" fontId="61" fillId="24" borderId="10" xfId="6" applyFont="1" applyFill="1" applyBorder="1" applyAlignment="1">
      <alignment horizontal="left" vertical="top"/>
    </xf>
    <xf numFmtId="0" fontId="61" fillId="24" borderId="10" xfId="6" applyFont="1" applyFill="1" applyBorder="1" applyAlignment="1">
      <alignment horizontal="left" vertical="top" wrapText="1"/>
    </xf>
    <xf numFmtId="167" fontId="64" fillId="29" borderId="10" xfId="1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0" xfId="1" applyNumberFormat="1" applyFont="1" applyBorder="1" applyAlignment="1">
      <alignment horizontal="left" vertical="top" wrapText="1"/>
    </xf>
    <xf numFmtId="0" fontId="65" fillId="29" borderId="10" xfId="1" applyFont="1" applyBorder="1" applyAlignment="1">
      <alignment horizontal="left" vertical="top" wrapText="1"/>
    </xf>
    <xf numFmtId="167" fontId="60" fillId="0" borderId="24" xfId="0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center" vertical="center"/>
    </xf>
    <xf numFmtId="0" fontId="60" fillId="57" borderId="24" xfId="3" applyFont="1" applyFill="1" applyBorder="1"/>
    <xf numFmtId="167" fontId="60" fillId="0" borderId="24" xfId="4" applyNumberFormat="1" applyFont="1" applyBorder="1" applyAlignment="1">
      <alignment wrapText="1"/>
    </xf>
    <xf numFmtId="2" fontId="60" fillId="57" borderId="24" xfId="3" applyNumberFormat="1" applyFont="1" applyFill="1" applyBorder="1"/>
    <xf numFmtId="0" fontId="60" fillId="0" borderId="24" xfId="4" applyFont="1" applyBorder="1"/>
    <xf numFmtId="167" fontId="60" fillId="0" borderId="24" xfId="4" applyNumberFormat="1" applyFont="1" applyBorder="1"/>
    <xf numFmtId="0" fontId="60" fillId="0" borderId="24" xfId="0" applyFont="1" applyBorder="1" applyAlignment="1">
      <alignment horizontal="left" vertical="top"/>
    </xf>
    <xf numFmtId="0" fontId="63" fillId="0" borderId="0" xfId="0" applyFont="1" applyAlignment="1">
      <alignment horizontal="left"/>
    </xf>
    <xf numFmtId="0" fontId="61" fillId="56" borderId="11" xfId="6" applyFont="1" applyFill="1" applyBorder="1" applyAlignment="1">
      <alignment horizontal="left" vertical="center"/>
    </xf>
    <xf numFmtId="0" fontId="64" fillId="57" borderId="11" xfId="1" applyFont="1" applyFill="1" applyBorder="1" applyAlignment="1">
      <alignment horizontal="left" wrapText="1"/>
    </xf>
    <xf numFmtId="0" fontId="61" fillId="58" borderId="0" xfId="6" applyFont="1" applyFill="1" applyAlignment="1">
      <alignment horizontal="left" vertical="center"/>
    </xf>
    <xf numFmtId="2" fontId="60" fillId="58" borderId="0" xfId="0" applyNumberFormat="1" applyFont="1" applyFill="1"/>
    <xf numFmtId="167" fontId="107" fillId="0" borderId="0" xfId="4" applyNumberFormat="1" applyFont="1"/>
    <xf numFmtId="167" fontId="106" fillId="0" borderId="24" xfId="4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left" vertical="top" wrapText="1"/>
    </xf>
    <xf numFmtId="179" fontId="65" fillId="29" borderId="10" xfId="1" applyNumberFormat="1" applyFont="1" applyBorder="1" applyAlignment="1">
      <alignment horizontal="left" vertical="top" wrapText="1"/>
    </xf>
    <xf numFmtId="179" fontId="60" fillId="57" borderId="24" xfId="3" applyNumberFormat="1" applyFont="1" applyFill="1" applyBorder="1"/>
    <xf numFmtId="0" fontId="108" fillId="0" borderId="0" xfId="0" applyFont="1" applyAlignment="1">
      <alignment horizontal="left" vertical="top"/>
    </xf>
    <xf numFmtId="0" fontId="109" fillId="0" borderId="0" xfId="0" applyFont="1" applyAlignment="1">
      <alignment horizontal="left"/>
    </xf>
    <xf numFmtId="2" fontId="0" fillId="0" borderId="0" xfId="0" applyNumberFormat="1"/>
    <xf numFmtId="0" fontId="13" fillId="24" borderId="13" xfId="0" applyFont="1" applyFill="1" applyBorder="1" applyAlignment="1">
      <alignment vertical="top" wrapText="1"/>
    </xf>
    <xf numFmtId="0" fontId="13" fillId="24" borderId="40" xfId="0" applyFont="1" applyFill="1" applyBorder="1" applyAlignment="1">
      <alignment horizontal="center" vertical="top" wrapText="1"/>
    </xf>
    <xf numFmtId="167" fontId="60" fillId="0" borderId="24" xfId="4" applyNumberFormat="1" applyFont="1" applyBorder="1" applyAlignment="1">
      <alignment vertical="top"/>
    </xf>
    <xf numFmtId="167" fontId="106" fillId="0" borderId="0" xfId="4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 wrapText="1"/>
    </xf>
    <xf numFmtId="167" fontId="60" fillId="0" borderId="0" xfId="0" applyNumberFormat="1" applyFont="1" applyAlignment="1">
      <alignment horizontal="center" vertical="center"/>
    </xf>
    <xf numFmtId="167" fontId="60" fillId="0" borderId="24" xfId="4" applyNumberFormat="1" applyFont="1" applyBorder="1" applyAlignment="1">
      <alignment vertical="top" wrapText="1"/>
    </xf>
    <xf numFmtId="9" fontId="60" fillId="57" borderId="24" xfId="36094" applyFont="1" applyFill="1" applyBorder="1"/>
    <xf numFmtId="180" fontId="0" fillId="0" borderId="0" xfId="0" applyNumberFormat="1"/>
    <xf numFmtId="165" fontId="60" fillId="0" borderId="0" xfId="36095" applyFont="1" applyAlignment="1">
      <alignment horizontal="left" vertical="top"/>
    </xf>
    <xf numFmtId="1" fontId="60" fillId="57" borderId="24" xfId="3" applyNumberFormat="1" applyFont="1" applyFill="1" applyBorder="1"/>
    <xf numFmtId="2" fontId="60" fillId="0" borderId="0" xfId="0" applyNumberFormat="1" applyFont="1" applyAlignment="1">
      <alignment horizontal="left" vertical="top"/>
    </xf>
    <xf numFmtId="9" fontId="60" fillId="0" borderId="0" xfId="0" applyNumberFormat="1" applyFont="1" applyAlignment="1">
      <alignment horizontal="left" vertical="top"/>
    </xf>
    <xf numFmtId="2" fontId="60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9" fontId="52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Border="1" applyAlignment="1">
      <alignment horizontal="center"/>
    </xf>
    <xf numFmtId="179" fontId="0" fillId="0" borderId="63" xfId="0" applyNumberForma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0" fontId="0" fillId="0" borderId="74" xfId="0" applyBorder="1"/>
    <xf numFmtId="2" fontId="0" fillId="0" borderId="57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65" xfId="0" applyNumberFormat="1" applyBorder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60" fillId="107" borderId="24" xfId="4" applyNumberFormat="1" applyFont="1" applyFill="1" applyBorder="1"/>
    <xf numFmtId="0" fontId="60" fillId="107" borderId="24" xfId="4" applyFont="1" applyFill="1" applyBorder="1"/>
    <xf numFmtId="2" fontId="60" fillId="107" borderId="24" xfId="3" applyNumberFormat="1" applyFont="1" applyFill="1" applyBorder="1"/>
    <xf numFmtId="1" fontId="60" fillId="107" borderId="24" xfId="3" applyNumberFormat="1" applyFont="1" applyFill="1" applyBorder="1"/>
    <xf numFmtId="167" fontId="60" fillId="108" borderId="24" xfId="4" applyNumberFormat="1" applyFont="1" applyFill="1" applyBorder="1"/>
    <xf numFmtId="0" fontId="60" fillId="108" borderId="24" xfId="4" applyFont="1" applyFill="1" applyBorder="1"/>
    <xf numFmtId="2" fontId="60" fillId="108" borderId="24" xfId="3" applyNumberFormat="1" applyFont="1" applyFill="1" applyBorder="1"/>
    <xf numFmtId="1" fontId="60" fillId="108" borderId="24" xfId="3" applyNumberFormat="1" applyFont="1" applyFill="1" applyBorder="1"/>
    <xf numFmtId="167" fontId="60" fillId="109" borderId="24" xfId="4" applyNumberFormat="1" applyFont="1" applyFill="1" applyBorder="1"/>
    <xf numFmtId="0" fontId="60" fillId="109" borderId="24" xfId="4" applyFont="1" applyFill="1" applyBorder="1"/>
    <xf numFmtId="2" fontId="60" fillId="109" borderId="24" xfId="3" applyNumberFormat="1" applyFont="1" applyFill="1" applyBorder="1"/>
    <xf numFmtId="1" fontId="60" fillId="109" borderId="24" xfId="3" applyNumberFormat="1" applyFont="1" applyFill="1" applyBorder="1"/>
    <xf numFmtId="181" fontId="60" fillId="107" borderId="24" xfId="3" applyNumberFormat="1" applyFont="1" applyFill="1" applyBorder="1"/>
    <xf numFmtId="0" fontId="61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0" fontId="65" fillId="29" borderId="10" xfId="1" applyFont="1" applyBorder="1" applyAlignment="1">
      <alignment horizontal="center" vertical="center" wrapText="1"/>
    </xf>
    <xf numFmtId="179" fontId="65" fillId="29" borderId="10" xfId="1" applyNumberFormat="1" applyFont="1" applyBorder="1" applyAlignment="1">
      <alignment horizontal="center" vertical="center" wrapText="1"/>
    </xf>
    <xf numFmtId="0" fontId="60" fillId="0" borderId="77" xfId="0" applyFont="1" applyBorder="1" applyAlignment="1">
      <alignment horizontal="center" vertical="top"/>
    </xf>
    <xf numFmtId="179" fontId="128" fillId="29" borderId="10" xfId="1" applyNumberFormat="1" applyFont="1" applyBorder="1" applyAlignment="1">
      <alignment horizontal="center" vertical="center" wrapText="1"/>
    </xf>
    <xf numFmtId="2" fontId="124" fillId="108" borderId="24" xfId="3" applyNumberFormat="1" applyFont="1" applyFill="1" applyBorder="1"/>
    <xf numFmtId="2" fontId="124" fillId="57" borderId="24" xfId="3" applyNumberFormat="1" applyFont="1" applyFill="1" applyBorder="1"/>
    <xf numFmtId="1" fontId="124" fillId="57" borderId="24" xfId="3" applyNumberFormat="1" applyFont="1" applyFill="1" applyBorder="1"/>
    <xf numFmtId="2" fontId="124" fillId="107" borderId="24" xfId="3" applyNumberFormat="1" applyFont="1" applyFill="1" applyBorder="1"/>
    <xf numFmtId="167" fontId="60" fillId="0" borderId="78" xfId="0" applyNumberFormat="1" applyFont="1" applyBorder="1" applyAlignment="1">
      <alignment horizontal="left" vertical="top"/>
    </xf>
    <xf numFmtId="167" fontId="60" fillId="0" borderId="78" xfId="4" applyNumberFormat="1" applyFont="1" applyBorder="1"/>
    <xf numFmtId="167" fontId="60" fillId="0" borderId="79" xfId="0" applyNumberFormat="1" applyFont="1" applyBorder="1" applyAlignment="1">
      <alignment horizontal="left" vertical="top"/>
    </xf>
    <xf numFmtId="167" fontId="60" fillId="0" borderId="79" xfId="4" applyNumberFormat="1" applyFont="1" applyBorder="1"/>
    <xf numFmtId="167" fontId="60" fillId="0" borderId="79" xfId="4" applyNumberFormat="1" applyFont="1" applyBorder="1" applyAlignment="1">
      <alignment vertical="top"/>
    </xf>
    <xf numFmtId="9" fontId="60" fillId="108" borderId="24" xfId="36094" applyFont="1" applyFill="1" applyBorder="1"/>
    <xf numFmtId="167" fontId="60" fillId="56" borderId="78" xfId="0" applyNumberFormat="1" applyFont="1" applyFill="1" applyBorder="1" applyAlignment="1">
      <alignment horizontal="left" vertical="top"/>
    </xf>
    <xf numFmtId="167" fontId="60" fillId="56" borderId="78" xfId="4" applyNumberFormat="1" applyFont="1" applyFill="1" applyBorder="1"/>
    <xf numFmtId="167" fontId="60" fillId="56" borderId="78" xfId="4" applyNumberFormat="1" applyFont="1" applyFill="1" applyBorder="1" applyAlignment="1">
      <alignment vertical="top"/>
    </xf>
    <xf numFmtId="167" fontId="60" fillId="56" borderId="24" xfId="0" applyNumberFormat="1" applyFont="1" applyFill="1" applyBorder="1" applyAlignment="1">
      <alignment horizontal="left" vertical="top"/>
    </xf>
    <xf numFmtId="167" fontId="60" fillId="56" borderId="24" xfId="4" applyNumberFormat="1" applyFont="1" applyFill="1" applyBorder="1"/>
    <xf numFmtId="167" fontId="60" fillId="56" borderId="24" xfId="4" applyNumberFormat="1" applyFont="1" applyFill="1" applyBorder="1" applyAlignment="1">
      <alignment vertical="top"/>
    </xf>
    <xf numFmtId="167" fontId="60" fillId="56" borderId="79" xfId="0" applyNumberFormat="1" applyFont="1" applyFill="1" applyBorder="1" applyAlignment="1">
      <alignment horizontal="left" vertical="top"/>
    </xf>
    <xf numFmtId="167" fontId="60" fillId="56" borderId="79" xfId="4" applyNumberFormat="1" applyFont="1" applyFill="1" applyBorder="1"/>
    <xf numFmtId="167" fontId="60" fillId="56" borderId="79" xfId="4" applyNumberFormat="1" applyFont="1" applyFill="1" applyBorder="1" applyAlignment="1">
      <alignment vertical="top"/>
    </xf>
    <xf numFmtId="0" fontId="60" fillId="0" borderId="78" xfId="0" applyFont="1" applyBorder="1" applyAlignment="1">
      <alignment horizontal="left" vertical="top"/>
    </xf>
    <xf numFmtId="167" fontId="60" fillId="0" borderId="78" xfId="4" applyNumberFormat="1" applyFont="1" applyBorder="1" applyAlignment="1">
      <alignment wrapText="1"/>
    </xf>
    <xf numFmtId="0" fontId="60" fillId="56" borderId="79" xfId="0" applyFont="1" applyFill="1" applyBorder="1" applyAlignment="1">
      <alignment horizontal="left" vertical="top"/>
    </xf>
    <xf numFmtId="167" fontId="60" fillId="56" borderId="79" xfId="4" applyNumberFormat="1" applyFont="1" applyFill="1" applyBorder="1" applyAlignment="1">
      <alignment wrapText="1"/>
    </xf>
    <xf numFmtId="0" fontId="60" fillId="56" borderId="81" xfId="0" applyFont="1" applyFill="1" applyBorder="1" applyAlignment="1">
      <alignment horizontal="left" vertical="top"/>
    </xf>
    <xf numFmtId="167" fontId="60" fillId="56" borderId="81" xfId="0" applyNumberFormat="1" applyFont="1" applyFill="1" applyBorder="1" applyAlignment="1">
      <alignment horizontal="left" vertical="top"/>
    </xf>
    <xf numFmtId="167" fontId="60" fillId="56" borderId="81" xfId="4" applyNumberFormat="1" applyFont="1" applyFill="1" applyBorder="1"/>
    <xf numFmtId="167" fontId="60" fillId="56" borderId="81" xfId="4" applyNumberFormat="1" applyFont="1" applyFill="1" applyBorder="1" applyAlignment="1">
      <alignment vertical="top" wrapText="1"/>
    </xf>
    <xf numFmtId="0" fontId="60" fillId="0" borderId="80" xfId="0" applyFont="1" applyBorder="1" applyAlignment="1">
      <alignment horizontal="left" vertical="top"/>
    </xf>
    <xf numFmtId="167" fontId="60" fillId="0" borderId="80" xfId="0" applyNumberFormat="1" applyFont="1" applyBorder="1" applyAlignment="1">
      <alignment horizontal="left" vertical="top"/>
    </xf>
    <xf numFmtId="167" fontId="60" fillId="0" borderId="80" xfId="4" applyNumberFormat="1" applyFont="1" applyBorder="1"/>
    <xf numFmtId="167" fontId="60" fillId="0" borderId="80" xfId="4" applyNumberFormat="1" applyFont="1" applyBorder="1" applyAlignment="1">
      <alignment vertical="top" wrapText="1"/>
    </xf>
    <xf numFmtId="9" fontId="60" fillId="0" borderId="0" xfId="36094" applyFont="1" applyAlignment="1">
      <alignment horizontal="left" vertical="top"/>
    </xf>
    <xf numFmtId="0" fontId="7" fillId="0" borderId="0" xfId="36126"/>
    <xf numFmtId="0" fontId="7" fillId="0" borderId="0" xfId="36126" applyAlignment="1">
      <alignment horizontal="center" vertical="center"/>
    </xf>
    <xf numFmtId="179" fontId="7" fillId="0" borderId="0" xfId="36126" applyNumberFormat="1"/>
    <xf numFmtId="0" fontId="127" fillId="0" borderId="0" xfId="36126" applyFont="1" applyAlignment="1">
      <alignment horizontal="right"/>
    </xf>
    <xf numFmtId="0" fontId="7" fillId="0" borderId="0" xfId="36126" applyAlignment="1">
      <alignment horizontal="right"/>
    </xf>
    <xf numFmtId="179" fontId="7" fillId="0" borderId="0" xfId="36126" applyNumberFormat="1" applyAlignment="1">
      <alignment horizontal="right"/>
    </xf>
    <xf numFmtId="0" fontId="7" fillId="0" borderId="0" xfId="36126" applyAlignment="1">
      <alignment horizontal="center"/>
    </xf>
    <xf numFmtId="0" fontId="7" fillId="0" borderId="49" xfId="36126" applyBorder="1"/>
    <xf numFmtId="0" fontId="7" fillId="0" borderId="50" xfId="36126" applyBorder="1" applyAlignment="1">
      <alignment horizontal="center"/>
    </xf>
    <xf numFmtId="0" fontId="7" fillId="0" borderId="51" xfId="36126" applyBorder="1" applyAlignment="1">
      <alignment horizontal="center" vertical="center"/>
    </xf>
    <xf numFmtId="0" fontId="7" fillId="0" borderId="46" xfId="36126" applyBorder="1" applyAlignment="1">
      <alignment horizontal="center" vertical="center"/>
    </xf>
    <xf numFmtId="0" fontId="7" fillId="0" borderId="51" xfId="36126" applyBorder="1" applyAlignment="1">
      <alignment horizontal="center"/>
    </xf>
    <xf numFmtId="0" fontId="52" fillId="0" borderId="50" xfId="36126" applyFont="1" applyBorder="1" applyAlignment="1">
      <alignment horizontal="center"/>
    </xf>
    <xf numFmtId="0" fontId="52" fillId="0" borderId="52" xfId="36126" applyFont="1" applyBorder="1" applyAlignment="1">
      <alignment horizontal="center"/>
    </xf>
    <xf numFmtId="9" fontId="52" fillId="0" borderId="52" xfId="36127" applyFont="1" applyBorder="1" applyAlignment="1">
      <alignment horizontal="center"/>
    </xf>
    <xf numFmtId="0" fontId="7" fillId="0" borderId="55" xfId="36126" applyBorder="1" applyAlignment="1">
      <alignment horizontal="center" vertical="center" wrapText="1"/>
    </xf>
    <xf numFmtId="0" fontId="7" fillId="0" borderId="56" xfId="36126" applyBorder="1" applyAlignment="1">
      <alignment horizontal="center" vertical="center"/>
    </xf>
    <xf numFmtId="0" fontId="7" fillId="0" borderId="56" xfId="36126" applyBorder="1" applyAlignment="1">
      <alignment horizontal="center"/>
    </xf>
    <xf numFmtId="2" fontId="7" fillId="0" borderId="55" xfId="36126" applyNumberFormat="1" applyBorder="1" applyAlignment="1">
      <alignment horizontal="center"/>
    </xf>
    <xf numFmtId="179" fontId="7" fillId="0" borderId="55" xfId="36126" applyNumberFormat="1" applyBorder="1" applyAlignment="1">
      <alignment horizontal="center"/>
    </xf>
    <xf numFmtId="1" fontId="7" fillId="0" borderId="55" xfId="36126" applyNumberFormat="1" applyBorder="1" applyAlignment="1">
      <alignment horizontal="center"/>
    </xf>
    <xf numFmtId="0" fontId="7" fillId="0" borderId="57" xfId="36126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7" fillId="0" borderId="13" xfId="36126" applyBorder="1" applyAlignment="1">
      <alignment horizontal="center" vertical="center" wrapText="1"/>
    </xf>
    <xf numFmtId="0" fontId="7" fillId="0" borderId="47" xfId="36126" applyBorder="1" applyAlignment="1">
      <alignment horizontal="center" vertical="center"/>
    </xf>
    <xf numFmtId="0" fontId="7" fillId="0" borderId="47" xfId="36126" applyBorder="1" applyAlignment="1">
      <alignment horizontal="center"/>
    </xf>
    <xf numFmtId="2" fontId="7" fillId="0" borderId="13" xfId="36126" applyNumberFormat="1" applyBorder="1" applyAlignment="1">
      <alignment horizontal="center"/>
    </xf>
    <xf numFmtId="179" fontId="7" fillId="0" borderId="13" xfId="36126" applyNumberFormat="1" applyBorder="1" applyAlignment="1">
      <alignment horizontal="center"/>
    </xf>
    <xf numFmtId="1" fontId="7" fillId="0" borderId="13" xfId="36126" applyNumberFormat="1" applyBorder="1" applyAlignment="1">
      <alignment horizontal="center"/>
    </xf>
    <xf numFmtId="0" fontId="7" fillId="0" borderId="59" xfId="36126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7" fillId="0" borderId="60" xfId="36126" applyBorder="1" applyAlignment="1">
      <alignment horizontal="center" vertical="center" wrapText="1"/>
    </xf>
    <xf numFmtId="0" fontId="7" fillId="0" borderId="61" xfId="36126" applyBorder="1" applyAlignment="1">
      <alignment vertical="center"/>
    </xf>
    <xf numFmtId="0" fontId="7" fillId="0" borderId="50" xfId="36126" applyBorder="1" applyAlignment="1">
      <alignment horizontal="center" vertical="center" wrapText="1"/>
    </xf>
    <xf numFmtId="0" fontId="7" fillId="0" borderId="63" xfId="36126" applyBorder="1" applyAlignment="1">
      <alignment horizontal="center" vertical="center" wrapText="1"/>
    </xf>
    <xf numFmtId="0" fontId="7" fillId="0" borderId="64" xfId="36126" applyBorder="1" applyAlignment="1">
      <alignment horizontal="center" vertical="center"/>
    </xf>
    <xf numFmtId="0" fontId="7" fillId="0" borderId="64" xfId="36126" applyBorder="1" applyAlignment="1">
      <alignment vertical="center"/>
    </xf>
    <xf numFmtId="2" fontId="7" fillId="0" borderId="63" xfId="36126" applyNumberFormat="1" applyBorder="1" applyAlignment="1">
      <alignment horizontal="center"/>
    </xf>
    <xf numFmtId="179" fontId="7" fillId="0" borderId="63" xfId="36126" applyNumberFormat="1" applyBorder="1" applyAlignment="1">
      <alignment horizontal="center"/>
    </xf>
    <xf numFmtId="0" fontId="7" fillId="0" borderId="63" xfId="36126" applyBorder="1" applyAlignment="1">
      <alignment horizontal="center"/>
    </xf>
    <xf numFmtId="1" fontId="7" fillId="0" borderId="63" xfId="36126" applyNumberFormat="1" applyBorder="1" applyAlignment="1">
      <alignment horizontal="center"/>
    </xf>
    <xf numFmtId="0" fontId="7" fillId="0" borderId="65" xfId="36126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7" fillId="0" borderId="13" xfId="36126" applyBorder="1" applyAlignment="1">
      <alignment horizontal="center" vertical="center"/>
    </xf>
    <xf numFmtId="0" fontId="7" fillId="0" borderId="63" xfId="36126" applyBorder="1" applyAlignment="1">
      <alignment horizontal="center" vertical="center"/>
    </xf>
    <xf numFmtId="0" fontId="7" fillId="0" borderId="64" xfId="36126" applyBorder="1" applyAlignment="1">
      <alignment horizontal="center"/>
    </xf>
    <xf numFmtId="0" fontId="7" fillId="0" borderId="56" xfId="36126" applyBorder="1" applyAlignment="1">
      <alignment horizontal="center" vertical="center" wrapText="1"/>
    </xf>
    <xf numFmtId="0" fontId="7" fillId="0" borderId="55" xfId="36126" applyBorder="1" applyAlignment="1">
      <alignment horizontal="center"/>
    </xf>
    <xf numFmtId="0" fontId="7" fillId="0" borderId="47" xfId="36126" applyBorder="1" applyAlignment="1">
      <alignment horizontal="center" vertical="center" wrapText="1"/>
    </xf>
    <xf numFmtId="0" fontId="7" fillId="0" borderId="13" xfId="36126" applyBorder="1" applyAlignment="1">
      <alignment horizontal="center"/>
    </xf>
    <xf numFmtId="0" fontId="7" fillId="0" borderId="64" xfId="36126" applyBorder="1" applyAlignment="1">
      <alignment horizontal="center" vertical="center" wrapText="1"/>
    </xf>
    <xf numFmtId="0" fontId="7" fillId="0" borderId="49" xfId="36126" applyBorder="1" applyAlignment="1">
      <alignment horizontal="center" vertical="center" wrapText="1"/>
    </xf>
    <xf numFmtId="0" fontId="7" fillId="0" borderId="51" xfId="36126" applyBorder="1" applyAlignment="1">
      <alignment horizontal="center" vertical="center" wrapText="1"/>
    </xf>
    <xf numFmtId="2" fontId="7" fillId="0" borderId="50" xfId="36126" applyNumberFormat="1" applyBorder="1" applyAlignment="1">
      <alignment horizontal="center" vertical="center"/>
    </xf>
    <xf numFmtId="179" fontId="7" fillId="0" borderId="50" xfId="36126" applyNumberFormat="1" applyBorder="1" applyAlignment="1">
      <alignment horizontal="center" vertical="center"/>
    </xf>
    <xf numFmtId="0" fontId="7" fillId="0" borderId="50" xfId="36126" applyBorder="1" applyAlignment="1">
      <alignment horizontal="center" vertical="center"/>
    </xf>
    <xf numFmtId="1" fontId="7" fillId="0" borderId="50" xfId="36126" applyNumberFormat="1" applyBorder="1" applyAlignment="1">
      <alignment horizontal="center" vertical="center"/>
    </xf>
    <xf numFmtId="0" fontId="7" fillId="0" borderId="52" xfId="36126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7" fillId="0" borderId="46" xfId="36126" applyBorder="1" applyAlignment="1">
      <alignment horizontal="left" vertical="center" wrapText="1"/>
    </xf>
    <xf numFmtId="0" fontId="7" fillId="0" borderId="25" xfId="36126" applyBorder="1" applyAlignment="1">
      <alignment horizontal="center" vertical="center" wrapText="1"/>
    </xf>
    <xf numFmtId="0" fontId="7" fillId="0" borderId="70" xfId="36126" applyBorder="1" applyAlignment="1">
      <alignment horizontal="center" vertical="center" wrapText="1"/>
    </xf>
    <xf numFmtId="0" fontId="7" fillId="0" borderId="71" xfId="36126" applyBorder="1" applyAlignment="1">
      <alignment horizontal="center" vertical="center" wrapText="1"/>
    </xf>
    <xf numFmtId="0" fontId="7" fillId="0" borderId="71" xfId="36126" applyBorder="1" applyAlignment="1">
      <alignment horizontal="center"/>
    </xf>
    <xf numFmtId="2" fontId="7" fillId="0" borderId="70" xfId="36126" applyNumberFormat="1" applyBorder="1" applyAlignment="1">
      <alignment horizontal="center"/>
    </xf>
    <xf numFmtId="179" fontId="7" fillId="0" borderId="70" xfId="36126" applyNumberFormat="1" applyBorder="1" applyAlignment="1">
      <alignment horizontal="center"/>
    </xf>
    <xf numFmtId="0" fontId="7" fillId="0" borderId="70" xfId="36126" applyBorder="1" applyAlignment="1">
      <alignment horizontal="center"/>
    </xf>
    <xf numFmtId="1" fontId="7" fillId="0" borderId="70" xfId="36126" applyNumberFormat="1" applyBorder="1" applyAlignment="1">
      <alignment horizontal="center"/>
    </xf>
    <xf numFmtId="0" fontId="7" fillId="0" borderId="72" xfId="36126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7" fillId="0" borderId="54" xfId="36126" applyBorder="1" applyAlignment="1">
      <alignment horizontal="center" vertical="center" wrapText="1"/>
    </xf>
    <xf numFmtId="0" fontId="7" fillId="0" borderId="62" xfId="36126" applyBorder="1" applyAlignment="1">
      <alignment horizontal="center" vertical="center" wrapText="1"/>
    </xf>
    <xf numFmtId="2" fontId="7" fillId="0" borderId="74" xfId="36126" applyNumberFormat="1" applyBorder="1" applyAlignment="1">
      <alignment horizontal="center"/>
    </xf>
    <xf numFmtId="2" fontId="7" fillId="0" borderId="76" xfId="36126" applyNumberFormat="1" applyBorder="1" applyAlignment="1">
      <alignment horizontal="center"/>
    </xf>
    <xf numFmtId="0" fontId="7" fillId="0" borderId="74" xfId="36126" applyBorder="1"/>
    <xf numFmtId="2" fontId="60" fillId="108" borderId="24" xfId="4" applyNumberFormat="1" applyFont="1" applyFill="1" applyBorder="1"/>
    <xf numFmtId="2" fontId="60" fillId="109" borderId="24" xfId="4" applyNumberFormat="1" applyFont="1" applyFill="1" applyBorder="1"/>
    <xf numFmtId="2" fontId="60" fillId="107" borderId="24" xfId="4" applyNumberFormat="1" applyFont="1" applyFill="1" applyBorder="1"/>
    <xf numFmtId="167" fontId="60" fillId="58" borderId="24" xfId="4" applyNumberFormat="1" applyFont="1" applyFill="1" applyBorder="1"/>
    <xf numFmtId="0" fontId="60" fillId="58" borderId="24" xfId="4" applyFont="1" applyFill="1" applyBorder="1"/>
    <xf numFmtId="2" fontId="60" fillId="58" borderId="24" xfId="4" applyNumberFormat="1" applyFont="1" applyFill="1" applyBorder="1"/>
    <xf numFmtId="2" fontId="60" fillId="58" borderId="24" xfId="3" applyNumberFormat="1" applyFont="1" applyFill="1" applyBorder="1"/>
    <xf numFmtId="2" fontId="124" fillId="58" borderId="24" xfId="3" applyNumberFormat="1" applyFont="1" applyFill="1" applyBorder="1"/>
    <xf numFmtId="1" fontId="60" fillId="58" borderId="24" xfId="3" applyNumberFormat="1" applyFont="1" applyFill="1" applyBorder="1"/>
    <xf numFmtId="181" fontId="60" fillId="58" borderId="24" xfId="3" applyNumberFormat="1" applyFont="1" applyFill="1" applyBorder="1"/>
    <xf numFmtId="167" fontId="60" fillId="110" borderId="24" xfId="4" applyNumberFormat="1" applyFont="1" applyFill="1" applyBorder="1"/>
    <xf numFmtId="0" fontId="60" fillId="110" borderId="24" xfId="4" applyFont="1" applyFill="1" applyBorder="1"/>
    <xf numFmtId="2" fontId="60" fillId="110" borderId="24" xfId="3" applyNumberFormat="1" applyFont="1" applyFill="1" applyBorder="1"/>
    <xf numFmtId="2" fontId="124" fillId="110" borderId="24" xfId="3" applyNumberFormat="1" applyFont="1" applyFill="1" applyBorder="1"/>
    <xf numFmtId="1" fontId="60" fillId="110" borderId="24" xfId="3" applyNumberFormat="1" applyFont="1" applyFill="1" applyBorder="1"/>
    <xf numFmtId="181" fontId="60" fillId="110" borderId="24" xfId="3" applyNumberFormat="1" applyFont="1" applyFill="1" applyBorder="1"/>
    <xf numFmtId="9" fontId="52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2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6" fillId="0" borderId="0" xfId="36128"/>
    <xf numFmtId="11" fontId="6" fillId="0" borderId="0" xfId="36128" applyNumberFormat="1"/>
    <xf numFmtId="0" fontId="5" fillId="0" borderId="0" xfId="36129"/>
    <xf numFmtId="11" fontId="5" fillId="0" borderId="0" xfId="36129" applyNumberFormat="1"/>
    <xf numFmtId="180" fontId="60" fillId="0" borderId="0" xfId="0" applyNumberFormat="1" applyFont="1" applyAlignment="1">
      <alignment horizontal="left" vertical="top"/>
    </xf>
    <xf numFmtId="166" fontId="60" fillId="108" borderId="24" xfId="36094" applyNumberFormat="1" applyFont="1" applyFill="1" applyBorder="1"/>
    <xf numFmtId="166" fontId="60" fillId="109" borderId="24" xfId="36094" applyNumberFormat="1" applyFont="1" applyFill="1" applyBorder="1"/>
    <xf numFmtId="166" fontId="60" fillId="57" borderId="24" xfId="36094" applyNumberFormat="1" applyFont="1" applyFill="1" applyBorder="1"/>
    <xf numFmtId="166" fontId="60" fillId="107" borderId="24" xfId="36094" applyNumberFormat="1" applyFont="1" applyFill="1" applyBorder="1"/>
    <xf numFmtId="166" fontId="60" fillId="58" borderId="24" xfId="36094" applyNumberFormat="1" applyFont="1" applyFill="1" applyBorder="1"/>
    <xf numFmtId="166" fontId="60" fillId="110" borderId="24" xfId="36094" applyNumberFormat="1" applyFont="1" applyFill="1" applyBorder="1"/>
    <xf numFmtId="11" fontId="60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9" fillId="110" borderId="0" xfId="36130" applyFont="1" applyFill="1"/>
    <xf numFmtId="0" fontId="52" fillId="110" borderId="0" xfId="36130" applyFont="1" applyFill="1"/>
    <xf numFmtId="0" fontId="4" fillId="0" borderId="0" xfId="36130"/>
    <xf numFmtId="0" fontId="129" fillId="108" borderId="0" xfId="36130" applyFont="1" applyFill="1"/>
    <xf numFmtId="0" fontId="52" fillId="108" borderId="0" xfId="36130" applyFont="1" applyFill="1"/>
    <xf numFmtId="0" fontId="4" fillId="56" borderId="0" xfId="36130" applyFill="1"/>
    <xf numFmtId="2" fontId="4" fillId="56" borderId="0" xfId="36130" applyNumberFormat="1" applyFill="1"/>
    <xf numFmtId="2" fontId="4" fillId="0" borderId="0" xfId="36130" applyNumberFormat="1"/>
    <xf numFmtId="2" fontId="129" fillId="108" borderId="0" xfId="36130" applyNumberFormat="1" applyFont="1" applyFill="1"/>
    <xf numFmtId="2" fontId="52" fillId="108" borderId="0" xfId="36130" applyNumberFormat="1" applyFont="1" applyFill="1"/>
    <xf numFmtId="179" fontId="60" fillId="108" borderId="24" xfId="3" applyNumberFormat="1" applyFont="1" applyFill="1" applyBorder="1"/>
    <xf numFmtId="179" fontId="60" fillId="109" borderId="24" xfId="3" applyNumberFormat="1" applyFont="1" applyFill="1" applyBorder="1"/>
    <xf numFmtId="179" fontId="60" fillId="107" borderId="24" xfId="3" applyNumberFormat="1" applyFont="1" applyFill="1" applyBorder="1"/>
    <xf numFmtId="179" fontId="60" fillId="58" borderId="24" xfId="3" applyNumberFormat="1" applyFont="1" applyFill="1" applyBorder="1"/>
    <xf numFmtId="179" fontId="60" fillId="110" borderId="24" xfId="3" applyNumberFormat="1" applyFont="1" applyFill="1" applyBorder="1"/>
    <xf numFmtId="187" fontId="7" fillId="0" borderId="0" xfId="36126" applyNumberFormat="1"/>
    <xf numFmtId="10" fontId="60" fillId="107" borderId="24" xfId="36094" applyNumberFormat="1" applyFont="1" applyFill="1" applyBorder="1"/>
    <xf numFmtId="166" fontId="60" fillId="111" borderId="24" xfId="36094" applyNumberFormat="1" applyFont="1" applyFill="1" applyBorder="1"/>
    <xf numFmtId="2" fontId="60" fillId="111" borderId="24" xfId="3" applyNumberFormat="1" applyFont="1" applyFill="1" applyBorder="1"/>
    <xf numFmtId="187" fontId="124" fillId="109" borderId="24" xfId="3" applyNumberFormat="1" applyFont="1" applyFill="1" applyBorder="1"/>
    <xf numFmtId="1" fontId="124" fillId="108" borderId="24" xfId="3" applyNumberFormat="1" applyFont="1" applyFill="1" applyBorder="1"/>
    <xf numFmtId="1" fontId="124" fillId="109" borderId="24" xfId="3" applyNumberFormat="1" applyFont="1" applyFill="1" applyBorder="1"/>
    <xf numFmtId="1" fontId="124" fillId="107" borderId="24" xfId="3" applyNumberFormat="1" applyFont="1" applyFill="1" applyBorder="1"/>
    <xf numFmtId="0" fontId="130" fillId="0" borderId="0" xfId="0" applyFont="1" applyAlignment="1">
      <alignment horizontal="left" vertical="top"/>
    </xf>
    <xf numFmtId="0" fontId="61" fillId="24" borderId="10" xfId="16948" applyFont="1" applyFill="1" applyBorder="1" applyAlignment="1">
      <alignment horizontal="left" vertical="top"/>
    </xf>
    <xf numFmtId="0" fontId="61" fillId="24" borderId="10" xfId="16948" applyFont="1" applyFill="1" applyBorder="1" applyAlignment="1">
      <alignment horizontal="left" vertical="top" wrapText="1"/>
    </xf>
    <xf numFmtId="167" fontId="60" fillId="0" borderId="24" xfId="36134" applyNumberFormat="1" applyFont="1" applyBorder="1"/>
    <xf numFmtId="0" fontId="60" fillId="0" borderId="24" xfId="36134" applyFont="1" applyBorder="1"/>
    <xf numFmtId="0" fontId="60" fillId="0" borderId="0" xfId="36131" applyFont="1" applyAlignment="1">
      <alignment horizontal="left" vertical="top"/>
    </xf>
    <xf numFmtId="181" fontId="60" fillId="0" borderId="0" xfId="0" applyNumberFormat="1" applyFont="1" applyAlignment="1">
      <alignment horizontal="left" vertical="top"/>
    </xf>
    <xf numFmtId="1" fontId="60" fillId="0" borderId="0" xfId="0" applyNumberFormat="1" applyFont="1" applyAlignment="1">
      <alignment horizontal="left" vertical="top"/>
    </xf>
    <xf numFmtId="0" fontId="61" fillId="24" borderId="0" xfId="6" applyFont="1" applyFill="1" applyAlignment="1">
      <alignment horizontal="left" vertical="top" wrapText="1"/>
    </xf>
    <xf numFmtId="0" fontId="61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9" fontId="0" fillId="0" borderId="72" xfId="36094" applyFont="1" applyFill="1" applyBorder="1" applyAlignment="1">
      <alignment horizontal="center" vertical="center"/>
    </xf>
    <xf numFmtId="2" fontId="0" fillId="111" borderId="70" xfId="0" applyNumberFormat="1" applyFill="1" applyBorder="1" applyAlignment="1">
      <alignment horizontal="center" vertical="center"/>
    </xf>
    <xf numFmtId="0" fontId="2" fillId="0" borderId="0" xfId="36130" applyFont="1"/>
    <xf numFmtId="179" fontId="0" fillId="0" borderId="83" xfId="0" applyNumberFormat="1" applyBorder="1" applyAlignment="1">
      <alignment horizontal="center" vertical="center"/>
    </xf>
    <xf numFmtId="179" fontId="0" fillId="111" borderId="50" xfId="0" applyNumberFormat="1" applyFill="1" applyBorder="1" applyAlignment="1">
      <alignment horizontal="center" vertical="center"/>
    </xf>
    <xf numFmtId="179" fontId="0" fillId="111" borderId="83" xfId="0" applyNumberFormat="1" applyFill="1" applyBorder="1" applyAlignment="1">
      <alignment horizontal="center" vertical="center"/>
    </xf>
    <xf numFmtId="189" fontId="60" fillId="58" borderId="24" xfId="3" applyNumberFormat="1" applyFont="1" applyFill="1" applyBorder="1"/>
    <xf numFmtId="187" fontId="124" fillId="58" borderId="24" xfId="3" applyNumberFormat="1" applyFont="1" applyFill="1" applyBorder="1"/>
    <xf numFmtId="10" fontId="60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2" fillId="24" borderId="10" xfId="36135" applyNumberFormat="1" applyFont="1" applyFill="1" applyBorder="1" applyAlignment="1">
      <alignment horizontal="left" vertical="top"/>
    </xf>
    <xf numFmtId="167" fontId="65" fillId="29" borderId="10" xfId="36136" applyNumberFormat="1" applyFont="1" applyBorder="1" applyAlignment="1">
      <alignment horizontal="left" vertical="top" wrapText="1"/>
    </xf>
    <xf numFmtId="167" fontId="60" fillId="0" borderId="24" xfId="4" applyNumberFormat="1" applyFont="1" applyBorder="1" applyAlignment="1">
      <alignment horizontal="left" vertical="center"/>
    </xf>
    <xf numFmtId="167" fontId="60" fillId="111" borderId="24" xfId="0" applyNumberFormat="1" applyFont="1" applyFill="1" applyBorder="1" applyAlignment="1">
      <alignment horizontal="left" vertical="top"/>
    </xf>
    <xf numFmtId="167" fontId="60" fillId="111" borderId="24" xfId="4" applyNumberFormat="1" applyFont="1" applyFill="1" applyBorder="1" applyAlignment="1">
      <alignment horizontal="left" vertical="center"/>
    </xf>
    <xf numFmtId="167" fontId="60" fillId="111" borderId="24" xfId="0" applyNumberFormat="1" applyFont="1" applyFill="1" applyBorder="1" applyAlignment="1">
      <alignment horizontal="center" vertical="center"/>
    </xf>
    <xf numFmtId="167" fontId="106" fillId="111" borderId="24" xfId="4" applyNumberFormat="1" applyFont="1" applyFill="1" applyBorder="1" applyAlignment="1">
      <alignment horizontal="left" vertical="top"/>
    </xf>
    <xf numFmtId="167" fontId="61" fillId="24" borderId="10" xfId="36137" applyNumberFormat="1" applyFont="1" applyFill="1" applyBorder="1" applyAlignment="1">
      <alignment horizontal="left" vertical="top"/>
    </xf>
    <xf numFmtId="167" fontId="64" fillId="29" borderId="11" xfId="36136" applyNumberFormat="1" applyFont="1" applyBorder="1" applyAlignment="1">
      <alignment horizontal="left" vertical="top" wrapText="1"/>
    </xf>
    <xf numFmtId="167" fontId="64" fillId="29" borderId="10" xfId="36136" applyNumberFormat="1" applyFont="1" applyBorder="1" applyAlignment="1">
      <alignment horizontal="left" vertical="top" wrapText="1"/>
    </xf>
    <xf numFmtId="167" fontId="60" fillId="56" borderId="80" xfId="4" applyNumberFormat="1" applyFont="1" applyFill="1" applyBorder="1"/>
    <xf numFmtId="0" fontId="0" fillId="0" borderId="84" xfId="0" applyBorder="1"/>
    <xf numFmtId="0" fontId="60" fillId="0" borderId="42" xfId="0" applyFont="1" applyBorder="1" applyAlignment="1">
      <alignment horizontal="left" vertical="top"/>
    </xf>
    <xf numFmtId="0" fontId="60" fillId="111" borderId="78" xfId="0" applyFont="1" applyFill="1" applyBorder="1" applyAlignment="1">
      <alignment horizontal="left" vertical="top"/>
    </xf>
    <xf numFmtId="167" fontId="60" fillId="111" borderId="78" xfId="0" applyNumberFormat="1" applyFont="1" applyFill="1" applyBorder="1" applyAlignment="1">
      <alignment horizontal="left" vertical="top"/>
    </xf>
    <xf numFmtId="167" fontId="60" fillId="111" borderId="78" xfId="4" applyNumberFormat="1" applyFont="1" applyFill="1" applyBorder="1"/>
    <xf numFmtId="167" fontId="60" fillId="111" borderId="78" xfId="4" applyNumberFormat="1" applyFont="1" applyFill="1" applyBorder="1" applyAlignment="1">
      <alignment wrapText="1"/>
    </xf>
    <xf numFmtId="167" fontId="61" fillId="24" borderId="10" xfId="0" applyNumberFormat="1" applyFont="1" applyFill="1" applyBorder="1" applyAlignment="1">
      <alignment vertical="top"/>
    </xf>
    <xf numFmtId="167" fontId="64" fillId="29" borderId="11" xfId="36136" applyNumberFormat="1" applyFont="1" applyBorder="1" applyAlignment="1">
      <alignment vertical="top" wrapText="1"/>
    </xf>
    <xf numFmtId="0" fontId="7" fillId="0" borderId="41" xfId="36126" applyBorder="1" applyAlignment="1">
      <alignment horizontal="left" vertical="center" wrapText="1"/>
    </xf>
    <xf numFmtId="0" fontId="7" fillId="0" borderId="45" xfId="36126" applyBorder="1" applyAlignment="1">
      <alignment horizontal="left" vertical="center" wrapText="1"/>
    </xf>
    <xf numFmtId="0" fontId="7" fillId="0" borderId="43" xfId="36126" applyBorder="1" applyAlignment="1">
      <alignment horizontal="left" vertical="center" wrapText="1"/>
    </xf>
    <xf numFmtId="0" fontId="7" fillId="0" borderId="25" xfId="36126" applyBorder="1" applyAlignment="1">
      <alignment horizontal="center" vertical="center" wrapText="1"/>
    </xf>
    <xf numFmtId="0" fontId="7" fillId="0" borderId="82" xfId="36126" applyBorder="1" applyAlignment="1">
      <alignment horizontal="center" vertical="center" wrapText="1"/>
    </xf>
    <xf numFmtId="0" fontId="7" fillId="0" borderId="75" xfId="36126" applyBorder="1" applyAlignment="1">
      <alignment horizontal="center" vertical="center" wrapText="1"/>
    </xf>
    <xf numFmtId="0" fontId="7" fillId="0" borderId="41" xfId="36126" applyBorder="1" applyAlignment="1">
      <alignment horizontal="left" vertical="center"/>
    </xf>
    <xf numFmtId="0" fontId="7" fillId="0" borderId="43" xfId="36126" applyBorder="1" applyAlignment="1">
      <alignment horizontal="left" vertical="center"/>
    </xf>
    <xf numFmtId="0" fontId="7" fillId="0" borderId="45" xfId="36126" applyBorder="1" applyAlignment="1">
      <alignment horizontal="left" vertical="center"/>
    </xf>
    <xf numFmtId="0" fontId="7" fillId="0" borderId="73" xfId="36126" applyBorder="1" applyAlignment="1">
      <alignment horizontal="center" vertical="center" wrapText="1"/>
    </xf>
    <xf numFmtId="0" fontId="7" fillId="0" borderId="67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0" fillId="0" borderId="77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Q20">
            <v>0.70448204835116923</v>
          </cell>
        </row>
        <row r="21">
          <cell r="I21">
            <v>21.981385162999999</v>
          </cell>
          <cell r="K21">
            <v>200000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L47" sqref="L47"/>
    </sheetView>
  </sheetViews>
  <sheetFormatPr defaultColWidth="9.140625" defaultRowHeight="15"/>
  <cols>
    <col min="1" max="1" width="9.140625" style="157"/>
    <col min="2" max="2" width="24.28515625" style="157" customWidth="1"/>
    <col min="3" max="3" width="19.7109375" style="157" customWidth="1"/>
    <col min="4" max="5" width="17.5703125" style="158" customWidth="1"/>
    <col min="6" max="6" width="27.28515625" style="158" customWidth="1"/>
    <col min="7" max="7" width="17.7109375" style="157" customWidth="1"/>
    <col min="8" max="8" width="15.28515625" style="157" customWidth="1"/>
    <col min="9" max="9" width="11.42578125" style="157" customWidth="1"/>
    <col min="10" max="10" width="10.85546875" style="157" customWidth="1"/>
    <col min="11" max="11" width="9.140625" style="157"/>
    <col min="12" max="12" width="12.7109375" style="157" customWidth="1"/>
    <col min="13" max="13" width="16.7109375" style="157" customWidth="1"/>
    <col min="14" max="14" width="11.42578125" style="157" customWidth="1"/>
    <col min="15" max="15" width="16.28515625" style="157" customWidth="1"/>
    <col min="16" max="16" width="17.85546875" style="157" customWidth="1"/>
    <col min="17" max="17" width="15.42578125" style="157" customWidth="1"/>
    <col min="18" max="18" width="9.140625" style="157"/>
    <col min="19" max="19" width="13.140625" style="157" customWidth="1"/>
    <col min="20" max="20" width="25.85546875" style="157" customWidth="1"/>
    <col min="21" max="16384" width="9.140625" style="157"/>
  </cols>
  <sheetData>
    <row r="1" spans="2:19">
      <c r="I1" s="157">
        <v>1000</v>
      </c>
      <c r="J1" s="159"/>
    </row>
    <row r="2" spans="2:19" ht="20.100000000000001" customHeight="1">
      <c r="H2" s="160" t="str">
        <f>'[7]VFEM Pivot'!D2</f>
        <v>2018 Data</v>
      </c>
      <c r="I2" s="161"/>
      <c r="J2" s="162"/>
      <c r="L2" s="161"/>
      <c r="M2" s="161"/>
      <c r="N2" s="161"/>
      <c r="O2" s="161"/>
      <c r="P2" s="161"/>
    </row>
    <row r="3" spans="2:19" ht="20.100000000000001" customHeight="1" thickBot="1">
      <c r="Q3" s="163"/>
    </row>
    <row r="4" spans="2:19" ht="20.100000000000001" customHeight="1" thickBot="1">
      <c r="B4" s="164" t="s">
        <v>188</v>
      </c>
      <c r="C4" s="165" t="s">
        <v>189</v>
      </c>
      <c r="D4" s="166" t="s">
        <v>190</v>
      </c>
      <c r="E4" s="166" t="s">
        <v>191</v>
      </c>
      <c r="F4" s="167" t="s">
        <v>192</v>
      </c>
      <c r="G4" s="168" t="s">
        <v>193</v>
      </c>
      <c r="H4" s="169" t="s">
        <v>104</v>
      </c>
      <c r="I4" s="169" t="s">
        <v>194</v>
      </c>
      <c r="J4" s="169" t="s">
        <v>195</v>
      </c>
      <c r="K4" s="169" t="s">
        <v>196</v>
      </c>
      <c r="L4" s="169" t="s">
        <v>197</v>
      </c>
      <c r="M4" s="169" t="s">
        <v>198</v>
      </c>
      <c r="N4" s="169" t="s">
        <v>199</v>
      </c>
      <c r="O4" s="169" t="s">
        <v>200</v>
      </c>
      <c r="P4" s="170" t="s">
        <v>201</v>
      </c>
      <c r="Q4" s="171" t="s">
        <v>202</v>
      </c>
      <c r="R4" s="163"/>
    </row>
    <row r="5" spans="2:19" ht="20.100000000000001" customHeight="1" thickBot="1">
      <c r="B5" s="380" t="s">
        <v>203</v>
      </c>
      <c r="C5" s="383" t="s">
        <v>204</v>
      </c>
      <c r="D5" s="172" t="s">
        <v>205</v>
      </c>
      <c r="E5" s="172" t="s">
        <v>206</v>
      </c>
      <c r="F5" s="173" t="s">
        <v>157</v>
      </c>
      <c r="G5" s="174" t="s">
        <v>207</v>
      </c>
      <c r="H5" s="175">
        <v>0.28964251024745374</v>
      </c>
      <c r="I5" s="176">
        <v>18.893708932999999</v>
      </c>
      <c r="J5" s="176">
        <v>28.939</v>
      </c>
      <c r="K5" s="177">
        <v>33857.253063779492</v>
      </c>
      <c r="L5" s="176">
        <v>2712.0790000000002</v>
      </c>
      <c r="M5" s="177">
        <v>10670.123224518902</v>
      </c>
      <c r="N5" s="177">
        <v>1383.6761070950265</v>
      </c>
      <c r="O5" s="175">
        <v>99.91011712992983</v>
      </c>
      <c r="P5" s="178"/>
      <c r="Q5" s="179">
        <v>0.752</v>
      </c>
      <c r="S5" s="280"/>
    </row>
    <row r="6" spans="2:19" ht="20.100000000000001" customHeight="1" thickBot="1">
      <c r="B6" s="381"/>
      <c r="C6" s="384"/>
      <c r="D6" s="172" t="s">
        <v>205</v>
      </c>
      <c r="E6" s="180" t="s">
        <v>206</v>
      </c>
      <c r="F6" s="181" t="s">
        <v>158</v>
      </c>
      <c r="G6" s="182" t="s">
        <v>207</v>
      </c>
      <c r="H6" s="183">
        <v>0.27145637995161387</v>
      </c>
      <c r="I6" s="184">
        <v>19.957648846000001</v>
      </c>
      <c r="J6" s="184">
        <v>3.36</v>
      </c>
      <c r="K6" s="185">
        <v>40982.1610282072</v>
      </c>
      <c r="L6" s="184">
        <v>250.92199999999997</v>
      </c>
      <c r="M6" s="185">
        <v>13389.630525063567</v>
      </c>
      <c r="N6" s="185">
        <v>1343.0866666666668</v>
      </c>
      <c r="O6" s="183">
        <v>12.376768861387102</v>
      </c>
      <c r="P6" s="186"/>
      <c r="Q6" s="187">
        <v>0.752</v>
      </c>
      <c r="S6" s="280"/>
    </row>
    <row r="7" spans="2:19" ht="20.100000000000001" customHeight="1" thickBot="1">
      <c r="B7" s="381"/>
      <c r="C7" s="384"/>
      <c r="D7" s="172" t="s">
        <v>205</v>
      </c>
      <c r="E7" s="180" t="s">
        <v>208</v>
      </c>
      <c r="F7" s="181" t="s">
        <v>156</v>
      </c>
      <c r="G7" s="182" t="s">
        <v>207</v>
      </c>
      <c r="H7" s="183">
        <v>1.3967093772495132</v>
      </c>
      <c r="I7" s="184">
        <v>18.893708932999999</v>
      </c>
      <c r="J7" s="184">
        <v>4.0000000000000001E-3</v>
      </c>
      <c r="K7" s="185">
        <v>56434.273897483348</v>
      </c>
      <c r="L7" s="184">
        <v>0.47199999999999998</v>
      </c>
      <c r="M7" s="185">
        <v>6505.1711652542372</v>
      </c>
      <c r="N7" s="185">
        <v>1346.9862952194624</v>
      </c>
      <c r="O7" s="183">
        <v>5.7100722237726439E-4</v>
      </c>
      <c r="P7" s="186"/>
      <c r="Q7" s="187">
        <v>0.752</v>
      </c>
      <c r="S7" s="280"/>
    </row>
    <row r="8" spans="2:19" ht="20.100000000000001" customHeight="1" thickBot="1">
      <c r="B8" s="381"/>
      <c r="C8" s="384"/>
      <c r="D8" s="172" t="s">
        <v>205</v>
      </c>
      <c r="E8" s="180" t="s">
        <v>209</v>
      </c>
      <c r="F8" s="181" t="s">
        <v>156</v>
      </c>
      <c r="G8" s="182" t="s">
        <v>207</v>
      </c>
      <c r="H8" s="183">
        <v>1.3967093772495132</v>
      </c>
      <c r="I8" s="184">
        <v>13.893708932999999</v>
      </c>
      <c r="J8" s="184">
        <v>0</v>
      </c>
      <c r="K8" s="185">
        <v>25285.083214393977</v>
      </c>
      <c r="L8" s="184">
        <v>0</v>
      </c>
      <c r="M8" s="185">
        <v>6505.1711652542372</v>
      </c>
      <c r="N8" s="185">
        <v>1619.2717698146616</v>
      </c>
      <c r="O8" s="183">
        <v>1.6273318451576746E-3</v>
      </c>
      <c r="P8" s="186"/>
      <c r="Q8" s="187">
        <v>0.752</v>
      </c>
      <c r="S8" s="280"/>
    </row>
    <row r="9" spans="2:19" ht="20.100000000000001" customHeight="1" thickBot="1">
      <c r="B9" s="381"/>
      <c r="C9" s="384"/>
      <c r="D9" s="172" t="s">
        <v>205</v>
      </c>
      <c r="E9" s="180" t="s">
        <v>206</v>
      </c>
      <c r="F9" s="181" t="s">
        <v>134</v>
      </c>
      <c r="G9" s="182" t="s">
        <v>210</v>
      </c>
      <c r="H9" s="183">
        <v>0.30808183498335601</v>
      </c>
      <c r="I9" s="184">
        <v>18.893708932999999</v>
      </c>
      <c r="J9" s="184">
        <v>2.8000000000000001E-2</v>
      </c>
      <c r="K9" s="185">
        <v>36679.454380806776</v>
      </c>
      <c r="L9" s="184">
        <v>1.107</v>
      </c>
      <c r="M9" s="185">
        <v>24600.90009936766</v>
      </c>
      <c r="N9" s="185">
        <v>1383.6761070950265</v>
      </c>
      <c r="O9" s="183">
        <v>8.8395982228135134E-2</v>
      </c>
      <c r="P9" s="186"/>
      <c r="Q9" s="187">
        <v>0.752</v>
      </c>
      <c r="S9" s="280"/>
    </row>
    <row r="10" spans="2:19" ht="20.100000000000001" customHeight="1" thickBot="1">
      <c r="B10" s="381"/>
      <c r="C10" s="384"/>
      <c r="D10" s="172" t="s">
        <v>205</v>
      </c>
      <c r="E10" s="180" t="s">
        <v>211</v>
      </c>
      <c r="F10" s="181" t="s">
        <v>157</v>
      </c>
      <c r="G10" s="182" t="s">
        <v>210</v>
      </c>
      <c r="H10" s="183">
        <v>0.40881958394081114</v>
      </c>
      <c r="I10" s="184">
        <v>18.893708932999999</v>
      </c>
      <c r="J10" s="184">
        <v>0.27800000000000002</v>
      </c>
      <c r="K10" s="185">
        <v>38494.327307022897</v>
      </c>
      <c r="L10" s="184">
        <v>14.217000000000001</v>
      </c>
      <c r="M10" s="185">
        <v>19528.13987339101</v>
      </c>
      <c r="N10" s="185">
        <v>1133.0287043611559</v>
      </c>
      <c r="O10" s="183">
        <v>0.67910534496360009</v>
      </c>
      <c r="P10" s="186"/>
      <c r="Q10" s="187">
        <v>0.752</v>
      </c>
      <c r="S10" s="280"/>
    </row>
    <row r="11" spans="2:19" ht="20.100000000000001" customHeight="1" thickBot="1">
      <c r="B11" s="381"/>
      <c r="C11" s="384"/>
      <c r="D11" s="172" t="s">
        <v>205</v>
      </c>
      <c r="E11" s="188" t="s">
        <v>212</v>
      </c>
      <c r="F11" s="181" t="s">
        <v>157</v>
      </c>
      <c r="G11" s="189" t="s">
        <v>210</v>
      </c>
      <c r="H11" s="183">
        <v>0.54411803291671346</v>
      </c>
      <c r="I11" s="184">
        <v>18.893708932999999</v>
      </c>
      <c r="J11" s="184">
        <v>6.0000000000000001E-3</v>
      </c>
      <c r="K11" s="185">
        <v>51909.674036494784</v>
      </c>
      <c r="L11" s="184">
        <v>0.46600000000000003</v>
      </c>
      <c r="M11" s="185">
        <v>11339.240429184549</v>
      </c>
      <c r="N11" s="185">
        <v>1215.1329648648723</v>
      </c>
      <c r="O11" s="183">
        <v>9.7112863760000015E-3</v>
      </c>
      <c r="P11" s="187">
        <v>0.6</v>
      </c>
      <c r="Q11" s="187">
        <v>0.752</v>
      </c>
      <c r="S11" s="280"/>
    </row>
    <row r="12" spans="2:19" ht="20.100000000000001" customHeight="1" thickBot="1">
      <c r="B12" s="381"/>
      <c r="C12" s="385"/>
      <c r="D12" s="190" t="s">
        <v>205</v>
      </c>
      <c r="E12" s="191" t="s">
        <v>212</v>
      </c>
      <c r="F12" s="192" t="s">
        <v>156</v>
      </c>
      <c r="G12" s="193" t="s">
        <v>210</v>
      </c>
      <c r="H12" s="194">
        <v>0.99498002582370737</v>
      </c>
      <c r="I12" s="195">
        <v>18.893708932999999</v>
      </c>
      <c r="J12" s="195">
        <v>0</v>
      </c>
      <c r="K12" s="196"/>
      <c r="L12" s="195">
        <v>0</v>
      </c>
      <c r="M12" s="197"/>
      <c r="N12" s="197"/>
      <c r="O12" s="194">
        <v>0</v>
      </c>
      <c r="P12" s="198"/>
      <c r="Q12" s="199">
        <v>0.752</v>
      </c>
      <c r="S12" s="280"/>
    </row>
    <row r="13" spans="2:19" ht="20.100000000000001" customHeight="1">
      <c r="B13" s="381"/>
      <c r="C13" s="383" t="s">
        <v>213</v>
      </c>
      <c r="D13" s="172" t="s">
        <v>214</v>
      </c>
      <c r="E13" s="172" t="s">
        <v>206</v>
      </c>
      <c r="F13" s="173" t="s">
        <v>157</v>
      </c>
      <c r="G13" s="174" t="s">
        <v>207</v>
      </c>
      <c r="H13" s="175">
        <v>0.22158279949800538</v>
      </c>
      <c r="I13" s="176">
        <v>22.051404092999999</v>
      </c>
      <c r="J13" s="176">
        <v>1.5169999999999999</v>
      </c>
      <c r="K13" s="177">
        <v>33896.666666666664</v>
      </c>
      <c r="L13" s="176">
        <v>146.91</v>
      </c>
      <c r="M13" s="177">
        <v>10322.833748077053</v>
      </c>
      <c r="N13" s="177">
        <v>1343.0866666666668</v>
      </c>
      <c r="O13" s="175">
        <v>6.8440669102732006</v>
      </c>
      <c r="P13" s="178"/>
      <c r="Q13" s="179">
        <v>0.69599999999999995</v>
      </c>
      <c r="S13" s="280"/>
    </row>
    <row r="14" spans="2:19" ht="20.100000000000001" customHeight="1">
      <c r="B14" s="381"/>
      <c r="C14" s="384"/>
      <c r="D14" s="180" t="s">
        <v>214</v>
      </c>
      <c r="E14" s="180" t="s">
        <v>206</v>
      </c>
      <c r="F14" s="200" t="s">
        <v>158</v>
      </c>
      <c r="G14" s="182" t="s">
        <v>207</v>
      </c>
      <c r="H14" s="183">
        <v>0.24297541688957527</v>
      </c>
      <c r="I14" s="184">
        <v>15.784552846</v>
      </c>
      <c r="J14" s="184">
        <v>5.7310000000000008</v>
      </c>
      <c r="K14" s="185">
        <v>50400.339083480678</v>
      </c>
      <c r="L14" s="184">
        <v>356.108</v>
      </c>
      <c r="M14" s="185">
        <v>16092.787084199173</v>
      </c>
      <c r="N14" s="185">
        <v>1539.6112737265694</v>
      </c>
      <c r="O14" s="183">
        <v>23.5858026146919</v>
      </c>
      <c r="P14" s="186"/>
      <c r="Q14" s="187">
        <v>0.69599999999999995</v>
      </c>
      <c r="S14" s="280"/>
    </row>
    <row r="15" spans="2:19" ht="20.100000000000001" customHeight="1">
      <c r="B15" s="381"/>
      <c r="C15" s="384"/>
      <c r="D15" s="180" t="s">
        <v>214</v>
      </c>
      <c r="E15" s="180" t="s">
        <v>208</v>
      </c>
      <c r="F15" s="200" t="s">
        <v>156</v>
      </c>
      <c r="G15" s="182" t="s">
        <v>207</v>
      </c>
      <c r="H15" s="183">
        <v>1.2845583191999705</v>
      </c>
      <c r="I15" s="184">
        <v>22.051404092999999</v>
      </c>
      <c r="J15" s="184">
        <v>1E-3</v>
      </c>
      <c r="K15" s="185">
        <v>70708.695652173919</v>
      </c>
      <c r="L15" s="184">
        <v>2.4E-2</v>
      </c>
      <c r="M15" s="185">
        <v>2754.4091666666668</v>
      </c>
      <c r="N15" s="185">
        <v>1709.806221731488</v>
      </c>
      <c r="O15" s="183">
        <v>5.1461906409333794E-5</v>
      </c>
      <c r="P15" s="186"/>
      <c r="Q15" s="187">
        <v>0.69599999999999995</v>
      </c>
      <c r="S15" s="280"/>
    </row>
    <row r="16" spans="2:19" ht="20.100000000000001" customHeight="1">
      <c r="B16" s="381"/>
      <c r="C16" s="384"/>
      <c r="D16" s="180" t="s">
        <v>214</v>
      </c>
      <c r="E16" s="180" t="s">
        <v>206</v>
      </c>
      <c r="F16" s="200" t="s">
        <v>134</v>
      </c>
      <c r="G16" s="182" t="s">
        <v>210</v>
      </c>
      <c r="H16" s="183">
        <v>0.30808183498335601</v>
      </c>
      <c r="I16" s="184">
        <v>22.051404092999999</v>
      </c>
      <c r="J16" s="184">
        <v>4.0000000000000001E-3</v>
      </c>
      <c r="K16" s="185">
        <v>36718.867983693948</v>
      </c>
      <c r="L16" s="184">
        <v>0.28599999999999998</v>
      </c>
      <c r="M16" s="185">
        <v>12097.956888111888</v>
      </c>
      <c r="N16" s="185">
        <v>1343.0866666666668</v>
      </c>
      <c r="O16" s="183">
        <v>1.1230833100519951E-2</v>
      </c>
      <c r="P16" s="186"/>
      <c r="Q16" s="187">
        <v>0.69599999999999995</v>
      </c>
      <c r="S16" s="280"/>
    </row>
    <row r="17" spans="2:19" ht="20.100000000000001" customHeight="1" thickBot="1">
      <c r="B17" s="382"/>
      <c r="C17" s="385"/>
      <c r="D17" s="191" t="s">
        <v>214</v>
      </c>
      <c r="E17" s="191" t="s">
        <v>211</v>
      </c>
      <c r="F17" s="201" t="s">
        <v>157</v>
      </c>
      <c r="G17" s="202" t="s">
        <v>210</v>
      </c>
      <c r="H17" s="194">
        <v>0.28050534446079667</v>
      </c>
      <c r="I17" s="195">
        <v>22.051404092999999</v>
      </c>
      <c r="J17" s="195">
        <v>1E-3</v>
      </c>
      <c r="K17" s="197">
        <v>38539.138979341078</v>
      </c>
      <c r="L17" s="195">
        <v>3.0000000000000001E-3</v>
      </c>
      <c r="M17" s="197">
        <v>19973.703333333335</v>
      </c>
      <c r="N17" s="197">
        <v>1099.7918790206932</v>
      </c>
      <c r="O17" s="194">
        <v>2.1361842540000003E-4</v>
      </c>
      <c r="P17" s="198"/>
      <c r="Q17" s="199">
        <v>0.69599999999999995</v>
      </c>
      <c r="S17" s="280"/>
    </row>
    <row r="18" spans="2:19" ht="20.100000000000001" customHeight="1">
      <c r="B18" s="380" t="s">
        <v>215</v>
      </c>
      <c r="C18" s="383" t="s">
        <v>216</v>
      </c>
      <c r="D18" s="172" t="s">
        <v>217</v>
      </c>
      <c r="E18" s="172" t="s">
        <v>206</v>
      </c>
      <c r="F18" s="203" t="s">
        <v>157</v>
      </c>
      <c r="G18" s="174" t="s">
        <v>207</v>
      </c>
      <c r="H18" s="175">
        <v>0.14021476092685786</v>
      </c>
      <c r="I18" s="176">
        <v>34.774647887</v>
      </c>
      <c r="J18" s="176">
        <v>1.0999999999999999E-2</v>
      </c>
      <c r="K18" s="204"/>
      <c r="L18" s="176">
        <v>2.9649999999999999</v>
      </c>
      <c r="M18" s="177">
        <v>3506.1434401349075</v>
      </c>
      <c r="N18" s="177">
        <v>3833.3491898492575</v>
      </c>
      <c r="O18" s="175">
        <v>7.4141375924200018E-2</v>
      </c>
      <c r="P18" s="178"/>
      <c r="Q18" s="179">
        <v>0.70399999999999996</v>
      </c>
      <c r="S18" s="280"/>
    </row>
    <row r="19" spans="2:19" ht="20.100000000000001" customHeight="1">
      <c r="B19" s="381"/>
      <c r="C19" s="384"/>
      <c r="D19" s="180" t="s">
        <v>217</v>
      </c>
      <c r="E19" s="180" t="s">
        <v>206</v>
      </c>
      <c r="F19" s="205" t="s">
        <v>158</v>
      </c>
      <c r="G19" s="182" t="s">
        <v>207</v>
      </c>
      <c r="H19" s="183">
        <v>0.13479584134353043</v>
      </c>
      <c r="I19" s="184">
        <v>21.981385162999999</v>
      </c>
      <c r="J19" s="184">
        <v>0.81200000000000006</v>
      </c>
      <c r="K19" s="206">
        <v>100000</v>
      </c>
      <c r="L19" s="184">
        <v>83.051000000000002</v>
      </c>
      <c r="M19" s="185">
        <v>9773.7372979253723</v>
      </c>
      <c r="N19" s="185">
        <v>3833.3491898492575</v>
      </c>
      <c r="O19" s="183">
        <v>6.0218375302937996</v>
      </c>
      <c r="P19" s="186"/>
      <c r="Q19" s="187">
        <v>0.70399999999999996</v>
      </c>
      <c r="S19" s="280"/>
    </row>
    <row r="20" spans="2:19" ht="20.100000000000001" customHeight="1" thickBot="1">
      <c r="B20" s="381"/>
      <c r="C20" s="385"/>
      <c r="D20" s="191" t="s">
        <v>217</v>
      </c>
      <c r="E20" s="191" t="s">
        <v>208</v>
      </c>
      <c r="F20" s="207" t="s">
        <v>156</v>
      </c>
      <c r="G20" s="202" t="s">
        <v>210</v>
      </c>
      <c r="H20" s="194">
        <v>0.4206022071259739</v>
      </c>
      <c r="I20" s="195">
        <v>21.981385162999999</v>
      </c>
      <c r="J20" s="195">
        <v>1E-3</v>
      </c>
      <c r="K20" s="196">
        <v>194172</v>
      </c>
      <c r="L20" s="195">
        <v>5.0000000000000001E-3</v>
      </c>
      <c r="M20" s="197">
        <v>11674.438</v>
      </c>
      <c r="N20" s="197">
        <v>3522.5370933749941</v>
      </c>
      <c r="O20" s="194">
        <v>1.3878241485907618E-4</v>
      </c>
      <c r="P20" s="198"/>
      <c r="Q20" s="199">
        <v>0.70399999999999996</v>
      </c>
      <c r="S20" s="280"/>
    </row>
    <row r="21" spans="2:19" ht="32.25" customHeight="1" thickBot="1">
      <c r="B21" s="382"/>
      <c r="C21" s="208" t="s">
        <v>218</v>
      </c>
      <c r="D21" s="190" t="s">
        <v>219</v>
      </c>
      <c r="E21" s="190" t="s">
        <v>206</v>
      </c>
      <c r="F21" s="209" t="s">
        <v>158</v>
      </c>
      <c r="G21" s="166" t="s">
        <v>207</v>
      </c>
      <c r="H21" s="210">
        <v>5.0548162725452636E-2</v>
      </c>
      <c r="I21" s="211">
        <v>21.981385162999999</v>
      </c>
      <c r="J21" s="211">
        <v>1.99</v>
      </c>
      <c r="K21" s="212">
        <v>200000</v>
      </c>
      <c r="L21" s="211">
        <v>73.424999999999997</v>
      </c>
      <c r="M21" s="213">
        <v>27090.252711610487</v>
      </c>
      <c r="N21" s="213">
        <v>16297.617065285449</v>
      </c>
      <c r="O21" s="210">
        <v>39.350625187973904</v>
      </c>
      <c r="P21" s="214"/>
      <c r="Q21" s="215">
        <v>0.70399999999999996</v>
      </c>
      <c r="S21" s="280"/>
    </row>
    <row r="22" spans="2:19" ht="20.100000000000001" customHeight="1">
      <c r="B22" s="380" t="s">
        <v>220</v>
      </c>
      <c r="C22" s="383" t="s">
        <v>221</v>
      </c>
      <c r="D22" s="172" t="s">
        <v>222</v>
      </c>
      <c r="E22" s="172" t="s">
        <v>206</v>
      </c>
      <c r="F22" s="173" t="s">
        <v>157</v>
      </c>
      <c r="G22" s="174" t="s">
        <v>207</v>
      </c>
      <c r="H22" s="175">
        <v>0.10688252747207665</v>
      </c>
      <c r="I22" s="176">
        <v>31</v>
      </c>
      <c r="J22" s="176">
        <v>1E-3</v>
      </c>
      <c r="K22" s="204"/>
      <c r="L22" s="176">
        <v>0.16800000000000001</v>
      </c>
      <c r="M22" s="177">
        <v>5752.6489285714288</v>
      </c>
      <c r="N22" s="177">
        <v>19152.472074982492</v>
      </c>
      <c r="O22" s="175">
        <v>9.0421235617999998E-3</v>
      </c>
      <c r="P22" s="178"/>
      <c r="Q22" s="179">
        <v>0.67600000000000005</v>
      </c>
      <c r="S22" s="280"/>
    </row>
    <row r="23" spans="2:19" ht="20.100000000000001" customHeight="1">
      <c r="B23" s="381"/>
      <c r="C23" s="384"/>
      <c r="D23" s="180" t="s">
        <v>222</v>
      </c>
      <c r="E23" s="180" t="s">
        <v>206</v>
      </c>
      <c r="F23" s="181" t="s">
        <v>158</v>
      </c>
      <c r="G23" s="182" t="s">
        <v>207</v>
      </c>
      <c r="H23" s="183">
        <v>7.3140734768071314E-2</v>
      </c>
      <c r="I23" s="184">
        <v>26.248000000000001</v>
      </c>
      <c r="J23" s="184">
        <v>0.26200000000000001</v>
      </c>
      <c r="K23" s="206">
        <v>440000</v>
      </c>
      <c r="L23" s="184">
        <v>9.1389999999999993</v>
      </c>
      <c r="M23" s="185">
        <v>28600.88882591093</v>
      </c>
      <c r="N23" s="185">
        <v>19152.472074982492</v>
      </c>
      <c r="O23" s="183">
        <v>3.573706550923299</v>
      </c>
      <c r="P23" s="186"/>
      <c r="Q23" s="187">
        <v>0.67600000000000005</v>
      </c>
      <c r="S23" s="280"/>
    </row>
    <row r="24" spans="2:19" ht="20.100000000000001" customHeight="1" thickBot="1">
      <c r="B24" s="382"/>
      <c r="C24" s="385"/>
      <c r="D24" s="191" t="s">
        <v>222</v>
      </c>
      <c r="E24" s="191" t="s">
        <v>208</v>
      </c>
      <c r="F24" s="192" t="s">
        <v>156</v>
      </c>
      <c r="G24" s="202" t="s">
        <v>207</v>
      </c>
      <c r="H24" s="194">
        <v>0.26019798353090839</v>
      </c>
      <c r="I24" s="195">
        <v>30</v>
      </c>
      <c r="J24" s="195">
        <v>2E-3</v>
      </c>
      <c r="K24" s="196">
        <v>927408</v>
      </c>
      <c r="L24" s="195">
        <v>6.4000000000000001E-2</v>
      </c>
      <c r="M24" s="197">
        <v>19791.03859375</v>
      </c>
      <c r="N24" s="197">
        <v>17599.568933767699</v>
      </c>
      <c r="O24" s="194">
        <v>4.8679334590213683E-3</v>
      </c>
      <c r="P24" s="198"/>
      <c r="Q24" s="199">
        <v>0.67600000000000005</v>
      </c>
      <c r="S24" s="280"/>
    </row>
    <row r="25" spans="2:19" ht="20.100000000000001" customHeight="1" thickBot="1">
      <c r="B25" s="216" t="s">
        <v>170</v>
      </c>
      <c r="C25" s="217"/>
      <c r="D25" s="218" t="s">
        <v>223</v>
      </c>
      <c r="E25" s="218" t="s">
        <v>206</v>
      </c>
      <c r="F25" s="219" t="s">
        <v>157</v>
      </c>
      <c r="G25" s="220" t="s">
        <v>207</v>
      </c>
      <c r="H25" s="221">
        <v>0.58423954516980703</v>
      </c>
      <c r="I25" s="222">
        <v>12.147264359999999</v>
      </c>
      <c r="J25" s="222">
        <v>0.40600000000000003</v>
      </c>
      <c r="K25" s="223">
        <v>10000</v>
      </c>
      <c r="L25" s="222">
        <v>157.547</v>
      </c>
      <c r="M25" s="224">
        <v>2573.6648963801281</v>
      </c>
      <c r="N25" s="224">
        <v>500</v>
      </c>
      <c r="O25" s="221">
        <v>0.69401872362499994</v>
      </c>
      <c r="P25" s="225"/>
      <c r="Q25" s="226">
        <v>0.72599999999999998</v>
      </c>
      <c r="S25" s="280"/>
    </row>
    <row r="26" spans="2:19" ht="20.100000000000001" customHeight="1">
      <c r="B26" s="386" t="s">
        <v>224</v>
      </c>
      <c r="C26" s="227" t="s">
        <v>225</v>
      </c>
      <c r="D26" s="172"/>
      <c r="E26" s="172"/>
      <c r="F26" s="173" t="s">
        <v>226</v>
      </c>
      <c r="G26" s="174" t="s">
        <v>207</v>
      </c>
      <c r="H26" s="204"/>
      <c r="I26" s="204"/>
      <c r="J26" s="204"/>
      <c r="K26" s="204"/>
      <c r="L26" s="204"/>
      <c r="M26" s="204"/>
      <c r="N26" s="204"/>
      <c r="O26" s="175">
        <v>12.412372940920505</v>
      </c>
      <c r="P26" s="178"/>
      <c r="Q26" s="179">
        <v>0.66</v>
      </c>
      <c r="S26" s="280"/>
    </row>
    <row r="27" spans="2:19" ht="20.100000000000001" customHeight="1" thickBot="1">
      <c r="B27" s="387"/>
      <c r="C27" s="228" t="s">
        <v>227</v>
      </c>
      <c r="D27" s="191"/>
      <c r="E27" s="191"/>
      <c r="F27" s="192" t="s">
        <v>226</v>
      </c>
      <c r="G27" s="202" t="s">
        <v>207</v>
      </c>
      <c r="H27" s="196"/>
      <c r="I27" s="196"/>
      <c r="J27" s="196"/>
      <c r="K27" s="196"/>
      <c r="L27" s="196"/>
      <c r="M27" s="196"/>
      <c r="N27" s="196"/>
      <c r="O27" s="194">
        <v>40.356662228624941</v>
      </c>
      <c r="P27" s="198"/>
      <c r="Q27" s="199">
        <v>0.8</v>
      </c>
      <c r="S27" s="280"/>
    </row>
    <row r="28" spans="2:19" ht="20.100000000000001" customHeight="1">
      <c r="B28" s="386" t="s">
        <v>228</v>
      </c>
      <c r="C28" s="383" t="s">
        <v>204</v>
      </c>
      <c r="D28" s="172"/>
      <c r="E28" s="172"/>
      <c r="F28" s="173" t="s">
        <v>158</v>
      </c>
      <c r="G28" s="174" t="s">
        <v>207</v>
      </c>
      <c r="H28" s="204"/>
      <c r="I28" s="204"/>
      <c r="J28" s="204"/>
      <c r="K28" s="204"/>
      <c r="L28" s="204"/>
      <c r="M28" s="204"/>
      <c r="N28" s="204"/>
      <c r="O28" s="175">
        <v>0.44616946569999993</v>
      </c>
      <c r="P28" s="178"/>
      <c r="Q28" s="179">
        <v>0.74399999999999999</v>
      </c>
      <c r="S28" s="280"/>
    </row>
    <row r="29" spans="2:19" ht="20.100000000000001" customHeight="1">
      <c r="B29" s="388"/>
      <c r="C29" s="389"/>
      <c r="D29" s="180"/>
      <c r="E29" s="180"/>
      <c r="F29" s="181" t="s">
        <v>156</v>
      </c>
      <c r="G29" s="182" t="s">
        <v>207</v>
      </c>
      <c r="H29" s="206"/>
      <c r="I29" s="206"/>
      <c r="J29" s="206"/>
      <c r="K29" s="206"/>
      <c r="L29" s="206"/>
      <c r="M29" s="206"/>
      <c r="N29" s="206"/>
      <c r="O29" s="229">
        <v>0.15255000000000002</v>
      </c>
      <c r="P29" s="186"/>
      <c r="Q29" s="187">
        <v>1</v>
      </c>
      <c r="S29" s="280"/>
    </row>
    <row r="30" spans="2:19" ht="20.100000000000001" customHeight="1">
      <c r="B30" s="388"/>
      <c r="C30" s="390" t="s">
        <v>229</v>
      </c>
      <c r="D30" s="180"/>
      <c r="E30" s="180"/>
      <c r="F30" s="181" t="s">
        <v>158</v>
      </c>
      <c r="G30" s="182" t="s">
        <v>207</v>
      </c>
      <c r="H30" s="206"/>
      <c r="I30" s="206"/>
      <c r="J30" s="206"/>
      <c r="K30" s="206"/>
      <c r="L30" s="183"/>
      <c r="M30" s="206"/>
      <c r="N30" s="206"/>
      <c r="O30" s="229">
        <v>1.7543150685</v>
      </c>
      <c r="P30" s="186"/>
      <c r="Q30" s="187">
        <v>0.74399999999999999</v>
      </c>
      <c r="S30" s="280"/>
    </row>
    <row r="31" spans="2:19" ht="20.100000000000001" customHeight="1" thickBot="1">
      <c r="B31" s="387"/>
      <c r="C31" s="385"/>
      <c r="D31" s="191"/>
      <c r="E31" s="191"/>
      <c r="F31" s="192" t="s">
        <v>156</v>
      </c>
      <c r="G31" s="202" t="s">
        <v>207</v>
      </c>
      <c r="H31" s="196"/>
      <c r="I31" s="196"/>
      <c r="J31" s="196"/>
      <c r="K31" s="196"/>
      <c r="L31" s="196"/>
      <c r="M31" s="196"/>
      <c r="N31" s="196"/>
      <c r="O31" s="230">
        <v>9.8391999999999993E-2</v>
      </c>
      <c r="P31" s="198"/>
      <c r="Q31" s="199">
        <v>0.74399999999999999</v>
      </c>
      <c r="S31" s="280"/>
    </row>
    <row r="32" spans="2:19" ht="20.100000000000001" customHeight="1" thickBot="1">
      <c r="B32" s="386" t="s">
        <v>168</v>
      </c>
      <c r="C32" s="227" t="s">
        <v>225</v>
      </c>
      <c r="D32" s="172"/>
      <c r="E32" s="172"/>
      <c r="F32" s="173" t="s">
        <v>159</v>
      </c>
      <c r="G32" s="174" t="s">
        <v>207</v>
      </c>
      <c r="H32" s="204"/>
      <c r="I32" s="204"/>
      <c r="J32" s="204"/>
      <c r="K32" s="204"/>
      <c r="L32" s="204"/>
      <c r="M32" s="204"/>
      <c r="N32" s="204"/>
      <c r="O32" s="175">
        <v>5.8600261216429228</v>
      </c>
      <c r="P32" s="178"/>
      <c r="Q32" s="250">
        <v>0.33600000000000002</v>
      </c>
      <c r="S32" s="280"/>
    </row>
    <row r="33" spans="2:19" ht="20.100000000000001" customHeight="1" thickBot="1">
      <c r="B33" s="387"/>
      <c r="C33" s="228" t="s">
        <v>230</v>
      </c>
      <c r="D33" s="191"/>
      <c r="E33" s="191"/>
      <c r="F33" s="192" t="s">
        <v>159</v>
      </c>
      <c r="G33" s="202" t="s">
        <v>207</v>
      </c>
      <c r="H33" s="196"/>
      <c r="I33" s="196"/>
      <c r="J33" s="196"/>
      <c r="K33" s="196"/>
      <c r="L33" s="196"/>
      <c r="M33" s="196"/>
      <c r="N33" s="196"/>
      <c r="O33" s="230">
        <v>14.036419966932959</v>
      </c>
      <c r="P33" s="198"/>
      <c r="Q33" s="251">
        <v>0.78200000000000003</v>
      </c>
      <c r="S33" s="280"/>
    </row>
    <row r="34" spans="2:19">
      <c r="G34" s="23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239</v>
      </c>
      <c r="B1" t="s">
        <v>240</v>
      </c>
      <c r="L1" s="264"/>
      <c r="M1">
        <v>1000</v>
      </c>
      <c r="P1">
        <v>1000</v>
      </c>
    </row>
    <row r="2" spans="1:24" ht="15">
      <c r="A2" t="s">
        <v>241</v>
      </c>
      <c r="J2" s="55" t="str">
        <f>'[7]VFEM Pivot'!D2</f>
        <v>2018 Data</v>
      </c>
      <c r="K2" s="56"/>
      <c r="L2" s="264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242</v>
      </c>
      <c r="G4" s="60" t="s">
        <v>192</v>
      </c>
      <c r="H4" s="105" t="s">
        <v>243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344</v>
      </c>
      <c r="O4" s="62" t="s">
        <v>198</v>
      </c>
      <c r="P4" s="62" t="s">
        <v>199</v>
      </c>
      <c r="Q4" s="62" t="s">
        <v>200</v>
      </c>
      <c r="R4" s="63" t="s">
        <v>201</v>
      </c>
      <c r="S4" s="64" t="s">
        <v>202</v>
      </c>
      <c r="T4" s="53"/>
    </row>
    <row r="5" spans="1:24" s="298" customFormat="1" ht="13.5" thickBot="1">
      <c r="B5" s="397" t="s">
        <v>203</v>
      </c>
      <c r="C5" s="394" t="s">
        <v>204</v>
      </c>
      <c r="D5" s="299" t="s">
        <v>205</v>
      </c>
      <c r="E5" s="299" t="s">
        <v>206</v>
      </c>
      <c r="F5" s="300" t="s">
        <v>206</v>
      </c>
      <c r="G5" s="301" t="s">
        <v>157</v>
      </c>
      <c r="H5" s="301" t="s">
        <v>233</v>
      </c>
      <c r="I5" s="302" t="s">
        <v>207</v>
      </c>
      <c r="J5" s="303">
        <f>[7]Outputs!H5</f>
        <v>0.29574226589403763</v>
      </c>
      <c r="K5" s="303">
        <f>[7]Outputs!I5</f>
        <v>18.893708932999999</v>
      </c>
      <c r="L5" s="304">
        <f>ROUNDUP([7]Outputs!J5,3)</f>
        <v>31.679000000000002</v>
      </c>
      <c r="M5" s="305">
        <f>(([7]Outputs!K5)/1)/1000</f>
        <v>33.857253063779488</v>
      </c>
      <c r="N5" s="304">
        <f>([7]Outputs!L5)*1000</f>
        <v>2975.5793199999998</v>
      </c>
      <c r="O5" s="305">
        <f>[7]Outputs!M5</f>
        <v>10646.074081392662</v>
      </c>
      <c r="P5" s="303">
        <f>(([7]Outputs!N5)/1)/1000</f>
        <v>1.3836761070950265</v>
      </c>
      <c r="Q5" s="303">
        <f>[7]Outputs!O5</f>
        <v>107.11434086032901</v>
      </c>
      <c r="R5" s="306"/>
      <c r="S5" s="307">
        <f>[7]Outputs!Q5</f>
        <v>0.74133047237566796</v>
      </c>
      <c r="X5" s="340"/>
    </row>
    <row r="6" spans="1:24" ht="13.5" thickBot="1">
      <c r="B6" s="392"/>
      <c r="C6" s="395"/>
      <c r="D6" s="65" t="s">
        <v>205</v>
      </c>
      <c r="E6" s="70" t="s">
        <v>206</v>
      </c>
      <c r="F6" s="88" t="s">
        <v>206</v>
      </c>
      <c r="G6" s="71" t="s">
        <v>158</v>
      </c>
      <c r="H6" s="71" t="s">
        <v>234</v>
      </c>
      <c r="I6" s="72" t="s">
        <v>207</v>
      </c>
      <c r="J6" s="73">
        <f>[7]Outputs!H6</f>
        <v>0.27102281432564018</v>
      </c>
      <c r="K6" s="73">
        <f>[7]Outputs!I6</f>
        <v>19.957648846000001</v>
      </c>
      <c r="L6" s="74">
        <f>ROUNDUP([7]Outputs!J6,3)</f>
        <v>3.7709999999999999</v>
      </c>
      <c r="M6" s="75">
        <f>(([7]Outputs!K6)/1)/1000</f>
        <v>40.982161028207202</v>
      </c>
      <c r="N6" s="74">
        <f>([7]Outputs!L6)*1000</f>
        <v>283.06308000000001</v>
      </c>
      <c r="O6" s="75">
        <f>[7]Outputs!M6</f>
        <v>13321.218756893339</v>
      </c>
      <c r="P6" s="73">
        <f>(([7]Outputs!N6)/1)/1000</f>
        <v>1.3430866666666668</v>
      </c>
      <c r="Q6" s="73">
        <f>[7]Outputs!O6</f>
        <v>13.913017692117103</v>
      </c>
      <c r="R6" s="102"/>
      <c r="S6" s="76">
        <f>[7]Outputs!Q6</f>
        <v>0.74133047237566796</v>
      </c>
      <c r="U6" s="298"/>
    </row>
    <row r="7" spans="1:24" ht="13.5" thickBot="1">
      <c r="B7" s="392"/>
      <c r="C7" s="395"/>
      <c r="D7" s="65" t="s">
        <v>205</v>
      </c>
      <c r="E7" s="70" t="s">
        <v>208</v>
      </c>
      <c r="F7" s="88" t="s">
        <v>208</v>
      </c>
      <c r="G7" s="71" t="s">
        <v>156</v>
      </c>
      <c r="H7" s="71" t="s">
        <v>235</v>
      </c>
      <c r="I7" s="72" t="s">
        <v>207</v>
      </c>
      <c r="J7" s="73">
        <f>[7]Outputs!H7</f>
        <v>1.4079922210878586</v>
      </c>
      <c r="K7" s="73">
        <f>[7]Outputs!I7</f>
        <v>18.893708932999999</v>
      </c>
      <c r="L7" s="74">
        <f>ROUNDUP([7]Outputs!J7,3)</f>
        <v>6.5000000000000002E-2</v>
      </c>
      <c r="M7" s="75">
        <f>(([7]Outputs!K7)/1)/1000</f>
        <v>56.434273897483351</v>
      </c>
      <c r="N7" s="74">
        <f>([7]Outputs!L7)*1000</f>
        <v>8.4618599999999997</v>
      </c>
      <c r="O7" s="75">
        <f>[7]Outputs!M7</f>
        <v>7638.6716431139248</v>
      </c>
      <c r="P7" s="73">
        <f>(([7]Outputs!N7)/1)/1000</f>
        <v>1.3469862952194624</v>
      </c>
      <c r="Q7" s="73">
        <f>[7]Outputs!O7</f>
        <v>4.5907476662093459E-2</v>
      </c>
      <c r="R7" s="102"/>
      <c r="S7" s="76">
        <f>[7]Outputs!Q7</f>
        <v>0.74133047237566796</v>
      </c>
      <c r="U7" s="298"/>
      <c r="W7" s="341"/>
    </row>
    <row r="8" spans="1:24" ht="13.5" thickBot="1">
      <c r="B8" s="392"/>
      <c r="C8" s="395"/>
      <c r="D8" s="65" t="s">
        <v>205</v>
      </c>
      <c r="E8" s="70" t="s">
        <v>209</v>
      </c>
      <c r="F8" s="88" t="s">
        <v>208</v>
      </c>
      <c r="G8" s="71" t="s">
        <v>156</v>
      </c>
      <c r="H8" s="71" t="s">
        <v>236</v>
      </c>
      <c r="I8" s="72" t="s">
        <v>207</v>
      </c>
      <c r="J8" s="73">
        <f>[7]Outputs!H8</f>
        <v>1.4079922210878586</v>
      </c>
      <c r="K8" s="73">
        <f>[7]Outputs!I8</f>
        <v>13.893708932999999</v>
      </c>
      <c r="L8" s="74">
        <f>ROUNDUP([7]Outputs!J8,3)</f>
        <v>0</v>
      </c>
      <c r="M8" s="75">
        <f>(([7]Outputs!K8)/1)/1000</f>
        <v>25.285083214393978</v>
      </c>
      <c r="N8" s="74">
        <f>([7]Outputs!L8)*1000</f>
        <v>0</v>
      </c>
      <c r="O8" s="75">
        <f>[7]Outputs!M8</f>
        <v>7638.6716431139248</v>
      </c>
      <c r="P8" s="73">
        <f>(([7]Outputs!N8)/1)/1000</f>
        <v>1.6192717698146617</v>
      </c>
      <c r="Q8" s="73">
        <f>[7]Outputs!O8</f>
        <v>0</v>
      </c>
      <c r="R8" s="102"/>
      <c r="S8" s="76">
        <f>[7]Outputs!Q8</f>
        <v>0.74133047237566796</v>
      </c>
      <c r="U8" s="298"/>
    </row>
    <row r="9" spans="1:24" ht="13.5" thickBot="1">
      <c r="B9" s="392"/>
      <c r="C9" s="395"/>
      <c r="D9" s="65" t="s">
        <v>205</v>
      </c>
      <c r="E9" s="70" t="s">
        <v>206</v>
      </c>
      <c r="F9" s="88" t="s">
        <v>206</v>
      </c>
      <c r="G9" s="71" t="s">
        <v>134</v>
      </c>
      <c r="H9" s="71" t="s">
        <v>134</v>
      </c>
      <c r="I9" s="72" t="s">
        <v>210</v>
      </c>
      <c r="J9" s="73">
        <f>[7]Outputs!H9</f>
        <v>0.3145699154482855</v>
      </c>
      <c r="K9" s="73">
        <f>[7]Outputs!I9</f>
        <v>18.893708932999999</v>
      </c>
      <c r="L9" s="74">
        <f>ROUNDUP([7]Outputs!J9,3)</f>
        <v>1.8000000000000002E-2</v>
      </c>
      <c r="M9" s="75">
        <f>(([7]Outputs!K9)/1)/1000</f>
        <v>36.679454380806774</v>
      </c>
      <c r="N9" s="74">
        <f>([7]Outputs!L9)*1000</f>
        <v>0.94355999999999995</v>
      </c>
      <c r="O9" s="75">
        <f>[7]Outputs!M9</f>
        <v>18696.81712874645</v>
      </c>
      <c r="P9" s="73">
        <f>(([7]Outputs!N9)/1)/1000</f>
        <v>1.3836761070950265</v>
      </c>
      <c r="Q9" s="73">
        <f>[7]Outputs!O9</f>
        <v>5.6081551043619199E-2</v>
      </c>
      <c r="R9" s="102"/>
      <c r="S9" s="76">
        <f>[7]Outputs!Q9</f>
        <v>0.74133047237566796</v>
      </c>
      <c r="U9" s="298"/>
    </row>
    <row r="10" spans="1:24" s="298" customFormat="1" ht="13.5" thickBot="1">
      <c r="B10" s="392"/>
      <c r="C10" s="395"/>
      <c r="D10" s="299" t="s">
        <v>205</v>
      </c>
      <c r="E10" s="308" t="s">
        <v>211</v>
      </c>
      <c r="F10" s="309" t="s">
        <v>232</v>
      </c>
      <c r="G10" s="310" t="s">
        <v>157</v>
      </c>
      <c r="H10" s="310" t="s">
        <v>233</v>
      </c>
      <c r="I10" s="311" t="s">
        <v>210</v>
      </c>
      <c r="J10" s="312">
        <f>[7]Outputs!H10</f>
        <v>0.40973965605281193</v>
      </c>
      <c r="K10" s="312">
        <f>[7]Outputs!I10</f>
        <v>18.893708932999999</v>
      </c>
      <c r="L10" s="313">
        <f>ROUNDUP([7]Outputs!J10,3)</f>
        <v>0.47</v>
      </c>
      <c r="M10" s="314">
        <f>(([7]Outputs!K10)/1)/1000</f>
        <v>38.4943273070229</v>
      </c>
      <c r="N10" s="313">
        <f>([7]Outputs!L10)*1000</f>
        <v>30.96611</v>
      </c>
      <c r="O10" s="314">
        <f>[7]Outputs!M10</f>
        <v>15168.599356199406</v>
      </c>
      <c r="P10" s="312">
        <f>(([7]Outputs!N10)/1)/1000</f>
        <v>1.1330287043611558</v>
      </c>
      <c r="Q10" s="312">
        <f>[7]Outputs!O10</f>
        <v>1.1463682103287998</v>
      </c>
      <c r="R10" s="315"/>
      <c r="S10" s="316">
        <f>[7]Outputs!Q10</f>
        <v>0.74133047237566796</v>
      </c>
    </row>
    <row r="11" spans="1:24" s="298" customFormat="1" ht="13.5" thickBot="1">
      <c r="B11" s="392"/>
      <c r="C11" s="395"/>
      <c r="D11" s="299" t="s">
        <v>205</v>
      </c>
      <c r="E11" s="317" t="s">
        <v>212</v>
      </c>
      <c r="F11" s="318" t="s">
        <v>212</v>
      </c>
      <c r="G11" s="310" t="s">
        <v>157</v>
      </c>
      <c r="H11" s="319" t="s">
        <v>233</v>
      </c>
      <c r="I11" s="320" t="s">
        <v>210</v>
      </c>
      <c r="J11" s="312">
        <f>[7]Outputs!H11</f>
        <v>0.5642532734319301</v>
      </c>
      <c r="K11" s="312">
        <f>[7]Outputs!I11</f>
        <v>18.893708932999999</v>
      </c>
      <c r="L11" s="313">
        <f>ROUNDUP([7]Outputs!J11,3)</f>
        <v>3.0000000000000002E-2</v>
      </c>
      <c r="M11" s="314">
        <f>(([7]Outputs!K11)/1)/1000</f>
        <v>51.909674036494785</v>
      </c>
      <c r="N11" s="313">
        <f>([7]Outputs!L11)*1000</f>
        <v>2.6780299999999997</v>
      </c>
      <c r="O11" s="314">
        <f>[7]Outputs!M11</f>
        <v>11101.838511891205</v>
      </c>
      <c r="P11" s="312">
        <f>(([7]Outputs!N11)/1)/1000</f>
        <v>1.2151329648648723</v>
      </c>
      <c r="Q11" s="312">
        <f>[7]Outputs!O11</f>
        <v>5.2690977598000004E-2</v>
      </c>
      <c r="R11" s="316">
        <f>[7]Outputs!P11</f>
        <v>0.6</v>
      </c>
      <c r="S11" s="316">
        <f>[7]Outputs!Q11</f>
        <v>0.74133047237566796</v>
      </c>
    </row>
    <row r="12" spans="1:24" ht="13.5" thickBot="1">
      <c r="B12" s="392"/>
      <c r="C12" s="396"/>
      <c r="D12" s="77" t="s">
        <v>205</v>
      </c>
      <c r="E12" s="78" t="s">
        <v>212</v>
      </c>
      <c r="F12" s="89" t="s">
        <v>212</v>
      </c>
      <c r="G12" s="79" t="s">
        <v>156</v>
      </c>
      <c r="H12" s="79"/>
      <c r="I12" s="80" t="s">
        <v>210</v>
      </c>
      <c r="J12" s="81">
        <f>[7]Outputs!H12</f>
        <v>1.0333422104936427</v>
      </c>
      <c r="K12" s="81">
        <f>[7]Outputs!I12</f>
        <v>18.893708932999999</v>
      </c>
      <c r="L12" s="82">
        <f>ROUNDUP([7]Outputs!J12,3)</f>
        <v>0</v>
      </c>
      <c r="M12" s="81">
        <f>(([7]Outputs!K12)/1)/1000</f>
        <v>0</v>
      </c>
      <c r="N12" s="82">
        <f>([7]Outputs!L12)*1000</f>
        <v>0</v>
      </c>
      <c r="O12" s="83">
        <f>[7]Outputs!M12</f>
        <v>0</v>
      </c>
      <c r="P12" s="81">
        <f>(([7]Outputs!N12)/1)/1000</f>
        <v>0</v>
      </c>
      <c r="Q12" s="81">
        <f>[7]Outputs!O12</f>
        <v>0</v>
      </c>
      <c r="R12" s="103"/>
      <c r="S12" s="84">
        <f>[7]Outputs!Q12</f>
        <v>0.74133047237566796</v>
      </c>
    </row>
    <row r="13" spans="1:24" s="298" customFormat="1">
      <c r="B13" s="392"/>
      <c r="C13" s="394" t="s">
        <v>213</v>
      </c>
      <c r="D13" s="299" t="s">
        <v>214</v>
      </c>
      <c r="E13" s="299" t="s">
        <v>206</v>
      </c>
      <c r="F13" s="300" t="s">
        <v>206</v>
      </c>
      <c r="G13" s="301" t="s">
        <v>157</v>
      </c>
      <c r="H13" s="301" t="s">
        <v>233</v>
      </c>
      <c r="I13" s="302" t="s">
        <v>207</v>
      </c>
      <c r="J13" s="303">
        <f>[7]Outputs!H13</f>
        <v>0.22446549570454616</v>
      </c>
      <c r="K13" s="303">
        <f>[7]Outputs!I13</f>
        <v>22.051404092999999</v>
      </c>
      <c r="L13" s="304">
        <f>ROUNDUP([7]Outputs!J13,3)</f>
        <v>1.5299999999999998</v>
      </c>
      <c r="M13" s="305">
        <f>(([7]Outputs!K13)/1)/1000</f>
        <v>33.896666666666661</v>
      </c>
      <c r="N13" s="304">
        <f>([7]Outputs!L13)*1000</f>
        <v>154.07906</v>
      </c>
      <c r="O13" s="305">
        <f>[7]Outputs!M13</f>
        <v>9928.1904973329929</v>
      </c>
      <c r="P13" s="303">
        <f>(([7]Outputs!N13)/1)/1000</f>
        <v>1.3430866666666668</v>
      </c>
      <c r="Q13" s="303">
        <f>[7]Outputs!O13</f>
        <v>6.8149728515223993</v>
      </c>
      <c r="R13" s="306"/>
      <c r="S13" s="307">
        <f>[7]Outputs!Q13</f>
        <v>0.70579966949183226</v>
      </c>
    </row>
    <row r="14" spans="1:24">
      <c r="B14" s="392"/>
      <c r="C14" s="395"/>
      <c r="D14" s="70" t="s">
        <v>214</v>
      </c>
      <c r="E14" s="70" t="s">
        <v>206</v>
      </c>
      <c r="F14" s="70" t="s">
        <v>206</v>
      </c>
      <c r="G14" s="85" t="s">
        <v>158</v>
      </c>
      <c r="H14" s="71" t="s">
        <v>234</v>
      </c>
      <c r="I14" s="72" t="s">
        <v>207</v>
      </c>
      <c r="J14" s="73">
        <f>[7]Outputs!H14</f>
        <v>0.24232912878138677</v>
      </c>
      <c r="K14" s="73">
        <f>[7]Outputs!I14</f>
        <v>15.784552846</v>
      </c>
      <c r="L14" s="74">
        <f>ROUNDUP([7]Outputs!J14,3)</f>
        <v>7.4610000000000003</v>
      </c>
      <c r="M14" s="75">
        <f>(([7]Outputs!K14)/1)/1000</f>
        <v>50.400339083480681</v>
      </c>
      <c r="N14" s="74">
        <f>([7]Outputs!L14)*1000</f>
        <v>459.72533000000004</v>
      </c>
      <c r="O14" s="75">
        <f>[7]Outputs!M14</f>
        <v>16227.64354737643</v>
      </c>
      <c r="P14" s="73">
        <f>(([7]Outputs!N14)/1)/1000</f>
        <v>1.5396112737265695</v>
      </c>
      <c r="Q14" s="73">
        <f>[7]Outputs!O14</f>
        <v>30.785646044517208</v>
      </c>
      <c r="R14" s="102"/>
      <c r="S14" s="76">
        <f>[7]Outputs!Q14</f>
        <v>0.70579966949183226</v>
      </c>
    </row>
    <row r="15" spans="1:24">
      <c r="B15" s="398"/>
      <c r="C15" s="399"/>
      <c r="D15" s="70" t="s">
        <v>214</v>
      </c>
      <c r="E15" s="70" t="s">
        <v>208</v>
      </c>
      <c r="F15" s="70" t="s">
        <v>208</v>
      </c>
      <c r="G15" s="85" t="s">
        <v>156</v>
      </c>
      <c r="H15" s="71" t="s">
        <v>235</v>
      </c>
      <c r="I15" s="72" t="s">
        <v>207</v>
      </c>
      <c r="J15" s="73">
        <f>[7]Outputs!H15</f>
        <v>1.3286632211786189</v>
      </c>
      <c r="K15" s="73">
        <f>[7]Outputs!I15</f>
        <v>22.051404092999999</v>
      </c>
      <c r="L15" s="74">
        <f>ROUNDUP([7]Outputs!J15,3)</f>
        <v>9.0000000000000011E-3</v>
      </c>
      <c r="M15" s="75">
        <f>(([7]Outputs!K15)/1)/1000</f>
        <v>70.708695652173915</v>
      </c>
      <c r="N15" s="74">
        <f>([7]Outputs!L15)*1000</f>
        <v>0.78132000000000001</v>
      </c>
      <c r="O15" s="75">
        <f>[7]Outputs!M15</f>
        <v>10630.718463625659</v>
      </c>
      <c r="P15" s="73">
        <f>(([7]Outputs!N15)/1)/1000</f>
        <v>1.709806221731488</v>
      </c>
      <c r="Q15" s="73">
        <f>[7]Outputs!O15</f>
        <v>6.251390734389406E-3</v>
      </c>
      <c r="R15" s="102"/>
      <c r="S15" s="76">
        <f>[7]Outputs!Q15</f>
        <v>0.70579966949183226</v>
      </c>
    </row>
    <row r="16" spans="1:24">
      <c r="B16" s="398"/>
      <c r="C16" s="399"/>
      <c r="D16" s="70" t="s">
        <v>214</v>
      </c>
      <c r="E16" s="70" t="s">
        <v>206</v>
      </c>
      <c r="F16" s="70" t="s">
        <v>206</v>
      </c>
      <c r="G16" s="85" t="s">
        <v>134</v>
      </c>
      <c r="H16" s="71" t="s">
        <v>134</v>
      </c>
      <c r="I16" s="72" t="s">
        <v>210</v>
      </c>
      <c r="J16" s="73">
        <f>[7]Outputs!H16</f>
        <v>0.3145699154482855</v>
      </c>
      <c r="K16" s="73">
        <f>[7]Outputs!I16</f>
        <v>22.051404092999999</v>
      </c>
      <c r="L16" s="74">
        <f>ROUNDUP([7]Outputs!J16,3)</f>
        <v>4.0000000000000001E-3</v>
      </c>
      <c r="M16" s="75">
        <f>(([7]Outputs!K16)/1)/1000</f>
        <v>36.718867983693947</v>
      </c>
      <c r="N16" s="74">
        <f>([7]Outputs!L16)*1000</f>
        <v>0.31486000000000003</v>
      </c>
      <c r="O16" s="75">
        <f>[7]Outputs!M16</f>
        <v>10828.973607317539</v>
      </c>
      <c r="P16" s="73">
        <f>(([7]Outputs!N16)/1)/1000</f>
        <v>1.3430866666666668</v>
      </c>
      <c r="Q16" s="73">
        <f>[7]Outputs!O16</f>
        <v>1.083895967972987E-2</v>
      </c>
      <c r="R16" s="102"/>
      <c r="S16" s="76">
        <f>[7]Outputs!Q16</f>
        <v>0.70579966949183226</v>
      </c>
    </row>
    <row r="17" spans="2:19" s="298" customFormat="1" ht="13.5" thickBot="1">
      <c r="B17" s="398"/>
      <c r="C17" s="396"/>
      <c r="D17" s="321" t="s">
        <v>214</v>
      </c>
      <c r="E17" s="321" t="s">
        <v>211</v>
      </c>
      <c r="F17" s="321" t="s">
        <v>232</v>
      </c>
      <c r="G17" s="322" t="s">
        <v>157</v>
      </c>
      <c r="H17" s="323" t="s">
        <v>233</v>
      </c>
      <c r="I17" s="324" t="s">
        <v>210</v>
      </c>
      <c r="J17" s="325">
        <f>[7]Outputs!H17</f>
        <v>0.32080057540766083</v>
      </c>
      <c r="K17" s="325">
        <f>[7]Outputs!I17</f>
        <v>22.051404092999999</v>
      </c>
      <c r="L17" s="326">
        <f>ROUNDUP([7]Outputs!J17,3)</f>
        <v>1E-3</v>
      </c>
      <c r="M17" s="327">
        <f>(([7]Outputs!K17)/1)/1000</f>
        <v>38.539138979341075</v>
      </c>
      <c r="N17" s="326">
        <f>([7]Outputs!L17)*1000</f>
        <v>1.0290000000000001E-2</v>
      </c>
      <c r="O17" s="327">
        <f>[7]Outputs!M17</f>
        <v>16907.714285714286</v>
      </c>
      <c r="P17" s="325">
        <f>(([7]Outputs!N17)/1)/1000</f>
        <v>1.0997918790206931</v>
      </c>
      <c r="Q17" s="325">
        <f>[7]Outputs!O17</f>
        <v>5.4233188260000009E-4</v>
      </c>
      <c r="R17" s="328"/>
      <c r="S17" s="329">
        <f>[7]Outputs!Q17</f>
        <v>0.70579966949183226</v>
      </c>
    </row>
    <row r="18" spans="2:19" s="298" customFormat="1" ht="13.5" thickBot="1">
      <c r="B18" s="391" t="s">
        <v>215</v>
      </c>
      <c r="C18" s="394" t="s">
        <v>216</v>
      </c>
      <c r="D18" s="299" t="s">
        <v>217</v>
      </c>
      <c r="E18" s="299" t="s">
        <v>206</v>
      </c>
      <c r="F18" s="300" t="s">
        <v>206</v>
      </c>
      <c r="G18" s="300" t="s">
        <v>157</v>
      </c>
      <c r="H18" s="300" t="s">
        <v>233</v>
      </c>
      <c r="I18" s="302" t="s">
        <v>207</v>
      </c>
      <c r="J18" s="303">
        <f>[7]Outputs!H18</f>
        <v>0.13638221628825251</v>
      </c>
      <c r="K18" s="303">
        <f>[7]Outputs!I18</f>
        <v>34.774647887</v>
      </c>
      <c r="L18" s="303">
        <v>7.6544255399999999E-3</v>
      </c>
      <c r="M18" s="298">
        <v>100</v>
      </c>
      <c r="N18" s="304">
        <f>L50/1000</f>
        <v>2.7080000000000002</v>
      </c>
      <c r="O18" s="94">
        <f t="shared" ref="O18:O20" si="0">L18/(N18/1000000)</f>
        <v>2826.5973190546529</v>
      </c>
      <c r="P18" s="303">
        <v>3.8</v>
      </c>
      <c r="Q18" s="92">
        <f t="shared" ref="Q18:Q20" si="1">L18/J18</f>
        <v>5.6124806799017574E-2</v>
      </c>
      <c r="R18" s="306"/>
      <c r="S18" s="307">
        <f>[7]Outputs!Q18</f>
        <v>0.70448204835116923</v>
      </c>
    </row>
    <row r="19" spans="2:19" ht="13.5" thickBot="1">
      <c r="B19" s="392"/>
      <c r="C19" s="395"/>
      <c r="D19" s="70" t="s">
        <v>217</v>
      </c>
      <c r="E19" s="70" t="s">
        <v>206</v>
      </c>
      <c r="F19" s="87" t="s">
        <v>206</v>
      </c>
      <c r="G19" s="88" t="s">
        <v>158</v>
      </c>
      <c r="H19" s="88" t="s">
        <v>234</v>
      </c>
      <c r="I19" s="72" t="s">
        <v>207</v>
      </c>
      <c r="J19" s="73">
        <f>[7]Outputs!H19</f>
        <v>0.13187233674282225</v>
      </c>
      <c r="K19" s="73">
        <f>[7]Outputs!I19</f>
        <v>21.981385162999999</v>
      </c>
      <c r="L19" s="303">
        <v>0.83454407725000002</v>
      </c>
      <c r="M19">
        <v>100</v>
      </c>
      <c r="N19" s="304">
        <f t="shared" ref="N19:N20" si="2">L51/1000</f>
        <v>79.08</v>
      </c>
      <c r="O19" s="94">
        <v>10553.162332448153</v>
      </c>
      <c r="P19" s="73">
        <v>3.8</v>
      </c>
      <c r="Q19" s="92">
        <f t="shared" si="1"/>
        <v>6.328424124898385</v>
      </c>
      <c r="R19" s="102"/>
      <c r="S19" s="76">
        <f>[7]Outputs!Q19</f>
        <v>0.70448204835116923</v>
      </c>
    </row>
    <row r="20" spans="2:19" ht="13.5" thickBot="1">
      <c r="B20" s="392"/>
      <c r="C20" s="396"/>
      <c r="D20" s="78" t="s">
        <v>217</v>
      </c>
      <c r="E20" s="78" t="s">
        <v>208</v>
      </c>
      <c r="F20" s="89" t="s">
        <v>208</v>
      </c>
      <c r="G20" s="89" t="s">
        <v>156</v>
      </c>
      <c r="H20" s="89" t="s">
        <v>85</v>
      </c>
      <c r="I20" s="86" t="s">
        <v>210</v>
      </c>
      <c r="J20" s="81">
        <f>[7]Outputs!H20</f>
        <v>0.60056169190323494</v>
      </c>
      <c r="K20" s="81">
        <f>[7]Outputs!I20</f>
        <v>21.981385162999999</v>
      </c>
      <c r="L20" s="303">
        <v>4.062377E-5</v>
      </c>
      <c r="M20">
        <v>391</v>
      </c>
      <c r="N20" s="304">
        <f t="shared" si="2"/>
        <v>2.5999999999999999E-2</v>
      </c>
      <c r="O20" s="94">
        <f t="shared" si="0"/>
        <v>1562.4526923076924</v>
      </c>
      <c r="P20" s="81">
        <v>3.5</v>
      </c>
      <c r="Q20" s="92">
        <f t="shared" si="1"/>
        <v>6.7642959162545911E-5</v>
      </c>
      <c r="R20" s="103"/>
      <c r="S20" s="84">
        <f>[7]Outputs!Q20</f>
        <v>0.70448204835116923</v>
      </c>
    </row>
    <row r="21" spans="2:19" ht="26.25" thickBot="1">
      <c r="B21" s="393"/>
      <c r="C21" s="90" t="s">
        <v>330</v>
      </c>
      <c r="D21" s="77" t="s">
        <v>219</v>
      </c>
      <c r="E21" s="77" t="s">
        <v>206</v>
      </c>
      <c r="F21" s="87" t="s">
        <v>206</v>
      </c>
      <c r="G21" s="91" t="s">
        <v>158</v>
      </c>
      <c r="H21" s="91" t="s">
        <v>234</v>
      </c>
      <c r="I21" s="59" t="s">
        <v>207</v>
      </c>
      <c r="J21">
        <v>5.6500000000000002E-2</v>
      </c>
      <c r="K21" s="92">
        <f>[7]Outputs!I21</f>
        <v>21.981385162999999</v>
      </c>
      <c r="L21" s="354">
        <v>0.68453212409913244</v>
      </c>
      <c r="M21" s="92">
        <f>(([7]Outputs!K21)/1)/1000</f>
        <v>200</v>
      </c>
      <c r="N21" s="93">
        <v>59.026000000000003</v>
      </c>
      <c r="O21" s="94">
        <f>L21/(N21/1000000)</f>
        <v>11597.128792381873</v>
      </c>
      <c r="P21" s="92">
        <v>16.440000000000001</v>
      </c>
      <c r="Q21" s="92">
        <f>L21/J21</f>
        <v>12.115612815913849</v>
      </c>
      <c r="R21" s="104"/>
      <c r="S21" s="95">
        <f>[7]Outputs!Q21</f>
        <v>0.70448204835116923</v>
      </c>
    </row>
    <row r="22" spans="2:19" ht="25.5" customHeight="1" thickBot="1">
      <c r="B22" s="343"/>
      <c r="C22" s="342" t="s">
        <v>331</v>
      </c>
      <c r="D22" s="344" t="s">
        <v>332</v>
      </c>
      <c r="E22" s="344" t="s">
        <v>206</v>
      </c>
      <c r="F22" s="87" t="s">
        <v>206</v>
      </c>
      <c r="G22" s="345" t="s">
        <v>158</v>
      </c>
      <c r="H22" s="345" t="s">
        <v>234</v>
      </c>
      <c r="I22" s="346" t="s">
        <v>207</v>
      </c>
      <c r="J22">
        <v>4.7E-2</v>
      </c>
      <c r="K22" s="92">
        <f>K21</f>
        <v>21.981385162999999</v>
      </c>
      <c r="L22" s="355">
        <v>1.5379655004445401</v>
      </c>
      <c r="M22" s="347">
        <v>300</v>
      </c>
      <c r="N22" s="348">
        <v>13.2</v>
      </c>
      <c r="O22" s="94">
        <f>L22/(N22/1000000)</f>
        <v>116512.53791246517</v>
      </c>
      <c r="P22" s="351">
        <v>20</v>
      </c>
      <c r="Q22" s="92">
        <f>L22/J22</f>
        <v>32.722670222224259</v>
      </c>
      <c r="R22" s="349"/>
      <c r="S22" s="350">
        <f>S21</f>
        <v>0.70448204835116923</v>
      </c>
    </row>
    <row r="23" spans="2:19" s="298" customFormat="1" ht="13.5" thickBot="1">
      <c r="B23" s="391" t="s">
        <v>220</v>
      </c>
      <c r="C23" s="394" t="s">
        <v>221</v>
      </c>
      <c r="D23" s="299" t="s">
        <v>222</v>
      </c>
      <c r="E23" s="299" t="s">
        <v>206</v>
      </c>
      <c r="F23" s="300" t="s">
        <v>206</v>
      </c>
      <c r="G23" s="301" t="s">
        <v>157</v>
      </c>
      <c r="H23" s="301" t="s">
        <v>233</v>
      </c>
      <c r="I23" s="302" t="s">
        <v>207</v>
      </c>
      <c r="J23" s="303">
        <f>[7]Outputs!H22</f>
        <v>0.10878530623606167</v>
      </c>
      <c r="K23" s="303">
        <f>[7]Outputs!I22</f>
        <v>31</v>
      </c>
      <c r="L23" s="313">
        <f>ROUNDUP([7]Outputs!J22,3)</f>
        <v>2E-3</v>
      </c>
      <c r="M23" s="303">
        <f>(([7]Outputs!K22)/1)/1000</f>
        <v>0</v>
      </c>
      <c r="N23" s="304">
        <f>([7]Outputs!L22)*1000</f>
        <v>0.15787000000000001</v>
      </c>
      <c r="O23" s="305">
        <f>[7]Outputs!M22</f>
        <v>6450.3937416861972</v>
      </c>
      <c r="P23" s="303">
        <f>(([7]Outputs!N22)/1)/1000</f>
        <v>18.74419950494234</v>
      </c>
      <c r="Q23" s="303">
        <f>[7]Outputs!O22</f>
        <v>9.3608566747999996E-3</v>
      </c>
      <c r="R23" s="306"/>
      <c r="S23" s="307">
        <f>[7]Outputs!Q22</f>
        <v>0.67564531292204155</v>
      </c>
    </row>
    <row r="24" spans="2:19">
      <c r="B24" s="392"/>
      <c r="C24" s="395"/>
      <c r="D24" s="70" t="s">
        <v>222</v>
      </c>
      <c r="E24" s="70" t="s">
        <v>206</v>
      </c>
      <c r="F24" s="87" t="s">
        <v>206</v>
      </c>
      <c r="G24" s="71" t="s">
        <v>158</v>
      </c>
      <c r="H24" s="71" t="s">
        <v>234</v>
      </c>
      <c r="I24" s="72" t="s">
        <v>207</v>
      </c>
      <c r="J24" s="73">
        <f>[7]Outputs!H23</f>
        <v>7.3200547754531456E-2</v>
      </c>
      <c r="K24" s="73">
        <f>[7]Outputs!I23</f>
        <v>26.248000000000001</v>
      </c>
      <c r="L24" s="74">
        <f>ROUNDUP([7]Outputs!J23,3)</f>
        <v>0.30599999999999999</v>
      </c>
      <c r="M24" s="73">
        <f>(([7]Outputs!K23)/1)/1000</f>
        <v>440</v>
      </c>
      <c r="N24" s="74">
        <f>([7]Outputs!L23)*1000</f>
        <v>10.997959999999999</v>
      </c>
      <c r="O24" s="75">
        <f>[7]Outputs!M23</f>
        <v>27792.509215345392</v>
      </c>
      <c r="P24" s="73">
        <f>(([7]Outputs!N23)/1)/1000</f>
        <v>18.74419950494234</v>
      </c>
      <c r="Q24" s="73">
        <f>[7]Outputs!O23</f>
        <v>4.1756641722817998</v>
      </c>
      <c r="R24" s="102"/>
      <c r="S24" s="76">
        <f>[7]Outputs!Q23</f>
        <v>0.67564531292204155</v>
      </c>
    </row>
    <row r="25" spans="2:19" ht="13.5" thickBot="1">
      <c r="B25" s="393"/>
      <c r="C25" s="396"/>
      <c r="D25" s="78" t="s">
        <v>222</v>
      </c>
      <c r="E25" s="78" t="s">
        <v>208</v>
      </c>
      <c r="F25" s="89" t="s">
        <v>208</v>
      </c>
      <c r="G25" s="79" t="s">
        <v>156</v>
      </c>
      <c r="H25" s="79" t="s">
        <v>235</v>
      </c>
      <c r="I25" s="86" t="s">
        <v>207</v>
      </c>
      <c r="J25" s="81">
        <f>[7]Outputs!H24</f>
        <v>0.26548125081615598</v>
      </c>
      <c r="K25" s="81">
        <f>[7]Outputs!I24</f>
        <v>30</v>
      </c>
      <c r="L25" s="82">
        <f>ROUNDUP([7]Outputs!J24,3)</f>
        <v>3.0000000000000001E-3</v>
      </c>
      <c r="M25" s="81">
        <f>(([7]Outputs!K24)/1)/1000</f>
        <v>927.40800000000002</v>
      </c>
      <c r="N25" s="82">
        <f>([7]Outputs!L24)*1000</f>
        <v>8.6559999999999998E-2</v>
      </c>
      <c r="O25" s="83">
        <f>[7]Outputs!M24</f>
        <v>32808.629505545287</v>
      </c>
      <c r="P25" s="81">
        <f>(([7]Outputs!N24)/1)/1000</f>
        <v>17.224399545082154</v>
      </c>
      <c r="Q25" s="81">
        <f>[7]Outputs!O24</f>
        <v>1.0697233651225421E-2</v>
      </c>
      <c r="R25" s="103"/>
      <c r="S25" s="84">
        <f>[7]Outputs!Q24</f>
        <v>0.67564531292204155</v>
      </c>
    </row>
    <row r="26" spans="2:19" s="298" customFormat="1" ht="13.5" thickBot="1">
      <c r="B26" s="330" t="s">
        <v>170</v>
      </c>
      <c r="C26" s="331"/>
      <c r="D26" s="332" t="s">
        <v>223</v>
      </c>
      <c r="E26" s="332" t="s">
        <v>206</v>
      </c>
      <c r="F26" s="300" t="s">
        <v>206</v>
      </c>
      <c r="G26" s="333" t="s">
        <v>157</v>
      </c>
      <c r="H26" s="333" t="s">
        <v>233</v>
      </c>
      <c r="I26" s="334" t="s">
        <v>207</v>
      </c>
      <c r="J26" s="335">
        <f>[7]Outputs!H25</f>
        <v>0.58602989312730902</v>
      </c>
      <c r="K26" s="335">
        <f>[7]Outputs!I25</f>
        <v>12.147264359999999</v>
      </c>
      <c r="L26" s="336">
        <f>ROUNDUP([7]Outputs!J25,3)</f>
        <v>0.41899999999999998</v>
      </c>
      <c r="M26" s="335">
        <f>(([7]Outputs!K25)/1)/1000</f>
        <v>10</v>
      </c>
      <c r="N26" s="336">
        <f>([7]Outputs!L25)*1000</f>
        <v>173.91852</v>
      </c>
      <c r="O26" s="337">
        <f>[7]Outputs!M25</f>
        <v>2404.5819246276938</v>
      </c>
      <c r="P26" s="335">
        <f>(([7]Outputs!N25)/1)/1000</f>
        <v>0.5</v>
      </c>
      <c r="Q26" s="335">
        <f>[7]Outputs!O25</f>
        <v>0.71361774280539991</v>
      </c>
      <c r="R26" s="338"/>
      <c r="S26" s="339">
        <f>[7]Outputs!Q25</f>
        <v>0.72394704223382245</v>
      </c>
    </row>
    <row r="27" spans="2:19">
      <c r="B27" s="400" t="s">
        <v>224</v>
      </c>
      <c r="C27" s="96" t="s">
        <v>225</v>
      </c>
      <c r="D27" s="65"/>
      <c r="E27" s="65"/>
      <c r="F27" s="87"/>
      <c r="G27" s="66" t="s">
        <v>226</v>
      </c>
      <c r="H27" s="66" t="s">
        <v>107</v>
      </c>
      <c r="I27" s="67" t="s">
        <v>207</v>
      </c>
      <c r="J27" s="68"/>
      <c r="K27" s="68"/>
      <c r="L27" s="68"/>
      <c r="M27" s="68"/>
      <c r="N27" s="68"/>
      <c r="O27" s="68"/>
      <c r="P27" s="68"/>
      <c r="Q27" s="68">
        <f>[7]Outputs!O26</f>
        <v>16.23163850531953</v>
      </c>
      <c r="R27" s="101"/>
      <c r="S27" s="69">
        <f>[7]Outputs!Q26</f>
        <v>0.66</v>
      </c>
    </row>
    <row r="28" spans="2:19" ht="13.5" thickBot="1">
      <c r="B28" s="401"/>
      <c r="C28" s="97" t="s">
        <v>227</v>
      </c>
      <c r="D28" s="78"/>
      <c r="E28" s="78"/>
      <c r="F28" s="89"/>
      <c r="G28" s="79" t="s">
        <v>226</v>
      </c>
      <c r="H28" s="79" t="s">
        <v>107</v>
      </c>
      <c r="I28" s="86" t="s">
        <v>207</v>
      </c>
      <c r="J28" s="81"/>
      <c r="K28" s="81"/>
      <c r="L28" s="81"/>
      <c r="M28" s="81"/>
      <c r="N28" s="81"/>
      <c r="O28" s="81"/>
      <c r="P28" s="81"/>
      <c r="Q28" s="81">
        <f>[7]Outputs!O27</f>
        <v>57.145128994219554</v>
      </c>
      <c r="R28" s="103"/>
      <c r="S28" s="84">
        <f>[7]Outputs!Q27</f>
        <v>0.8</v>
      </c>
    </row>
    <row r="29" spans="2:19">
      <c r="B29" s="400" t="s">
        <v>228</v>
      </c>
      <c r="C29" s="403" t="s">
        <v>204</v>
      </c>
      <c r="D29" s="65"/>
      <c r="E29" s="65"/>
      <c r="F29" s="87"/>
      <c r="G29" s="66" t="s">
        <v>158</v>
      </c>
      <c r="H29" s="66" t="s">
        <v>234</v>
      </c>
      <c r="I29" s="67" t="s">
        <v>207</v>
      </c>
      <c r="J29" s="68"/>
      <c r="K29" s="68"/>
      <c r="L29" s="68"/>
      <c r="M29" s="68"/>
      <c r="N29" s="68"/>
      <c r="O29" s="68"/>
      <c r="P29" s="68"/>
      <c r="Q29" s="68">
        <f>[7]Outputs!O28</f>
        <v>0.13344140266064158</v>
      </c>
      <c r="R29" s="101"/>
      <c r="S29" s="69">
        <f>[7]Outputs!Q28</f>
        <v>0.74358974358974361</v>
      </c>
    </row>
    <row r="30" spans="2:19">
      <c r="B30" s="402"/>
      <c r="C30" s="404"/>
      <c r="D30" s="70"/>
      <c r="E30" s="70"/>
      <c r="F30" s="88"/>
      <c r="G30" s="71" t="s">
        <v>156</v>
      </c>
      <c r="H30" s="71" t="s">
        <v>85</v>
      </c>
      <c r="I30" s="72" t="s">
        <v>207</v>
      </c>
      <c r="J30" s="73"/>
      <c r="K30" s="73"/>
      <c r="L30" s="73"/>
      <c r="M30" s="73"/>
      <c r="N30" s="73"/>
      <c r="O30" s="73"/>
      <c r="P30" s="73"/>
      <c r="Q30" s="98">
        <f>[7]Outputs!O29</f>
        <v>0.21429400000000001</v>
      </c>
      <c r="R30" s="102"/>
      <c r="S30" s="76">
        <f>[7]Outputs!Q29</f>
        <v>1</v>
      </c>
    </row>
    <row r="31" spans="2:19">
      <c r="B31" s="402"/>
      <c r="C31" s="399" t="s">
        <v>229</v>
      </c>
      <c r="D31" s="70"/>
      <c r="E31" s="70"/>
      <c r="F31" s="88"/>
      <c r="G31" s="71" t="s">
        <v>158</v>
      </c>
      <c r="H31" s="71" t="s">
        <v>234</v>
      </c>
      <c r="I31" s="72" t="s">
        <v>207</v>
      </c>
      <c r="J31" s="73"/>
      <c r="K31" s="73"/>
      <c r="L31" s="73"/>
      <c r="M31" s="73"/>
      <c r="N31" s="73"/>
      <c r="O31" s="73"/>
      <c r="P31" s="73"/>
      <c r="Q31" s="98">
        <f>[7]Outputs!O30</f>
        <v>1.5216156755530919</v>
      </c>
      <c r="R31" s="102"/>
      <c r="S31" s="76">
        <f>[7]Outputs!Q30</f>
        <v>0.74358974358974361</v>
      </c>
    </row>
    <row r="32" spans="2:19" ht="13.5" thickBot="1">
      <c r="B32" s="401"/>
      <c r="C32" s="405"/>
      <c r="D32" s="78"/>
      <c r="E32" s="78"/>
      <c r="F32" s="89"/>
      <c r="G32" s="79" t="s">
        <v>156</v>
      </c>
      <c r="H32" s="79" t="s">
        <v>85</v>
      </c>
      <c r="I32" s="86" t="s">
        <v>207</v>
      </c>
      <c r="J32" s="81"/>
      <c r="K32" s="81"/>
      <c r="L32" s="81"/>
      <c r="M32" s="81"/>
      <c r="N32" s="81"/>
      <c r="O32" s="81"/>
      <c r="P32" s="81"/>
      <c r="Q32" s="99">
        <f>[7]Outputs!O31</f>
        <v>5.6542000000000002E-2</v>
      </c>
      <c r="R32" s="103"/>
      <c r="S32" s="84">
        <f>[7]Outputs!Q31</f>
        <v>0.74358974358974361</v>
      </c>
    </row>
    <row r="33" spans="2:19" ht="15.75" thickBot="1">
      <c r="B33" s="400" t="s">
        <v>168</v>
      </c>
      <c r="C33" s="96" t="s">
        <v>225</v>
      </c>
      <c r="D33" s="65"/>
      <c r="E33" s="65"/>
      <c r="F33" s="87"/>
      <c r="G33" s="66" t="s">
        <v>159</v>
      </c>
      <c r="H33" s="66" t="s">
        <v>108</v>
      </c>
      <c r="I33" s="67" t="s">
        <v>207</v>
      </c>
      <c r="J33" s="68"/>
      <c r="K33" s="68"/>
      <c r="L33" s="68"/>
      <c r="M33" s="68"/>
      <c r="N33" s="68"/>
      <c r="O33" s="68"/>
      <c r="P33" s="68"/>
      <c r="Q33" s="68">
        <f>[7]Outputs!O32</f>
        <v>3.6186409269341855</v>
      </c>
      <c r="R33" s="101"/>
      <c r="S33" s="248">
        <v>0.33600000000000002</v>
      </c>
    </row>
    <row r="34" spans="2:19" ht="13.5" thickBot="1">
      <c r="B34" s="401"/>
      <c r="C34" s="97" t="s">
        <v>230</v>
      </c>
      <c r="D34" s="78"/>
      <c r="E34" s="78"/>
      <c r="F34" s="89"/>
      <c r="G34" s="79" t="s">
        <v>159</v>
      </c>
      <c r="H34" s="79" t="s">
        <v>108</v>
      </c>
      <c r="I34" s="86" t="s">
        <v>207</v>
      </c>
      <c r="J34" s="81"/>
      <c r="K34" s="81"/>
      <c r="L34" s="81"/>
      <c r="M34" s="81"/>
      <c r="N34" s="81"/>
      <c r="O34" s="81"/>
      <c r="P34" s="81"/>
      <c r="Q34" s="99">
        <f>[7]Outputs!O33</f>
        <v>13.286203471697528</v>
      </c>
      <c r="R34" s="103"/>
      <c r="S34" s="249">
        <v>0.78200000000000003</v>
      </c>
    </row>
    <row r="35" spans="2:19">
      <c r="I35" s="100"/>
    </row>
    <row r="36" spans="2:19">
      <c r="K36" t="s">
        <v>352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353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354</v>
      </c>
      <c r="L39">
        <v>2.2224976245436725</v>
      </c>
      <c r="N39">
        <v>72.2</v>
      </c>
      <c r="Q39">
        <v>44.838283038138108</v>
      </c>
    </row>
    <row r="40" spans="2:19">
      <c r="L40" s="360">
        <f>L21+L22</f>
        <v>2.2224976245436725</v>
      </c>
      <c r="M40" s="359"/>
      <c r="N40" s="359">
        <f t="shared" ref="N40:Q40" si="3">N21+N22</f>
        <v>72.225999999999999</v>
      </c>
      <c r="O40" s="359"/>
      <c r="P40" s="359"/>
      <c r="Q40" s="360">
        <f t="shared" si="3"/>
        <v>44.838283038138108</v>
      </c>
    </row>
    <row r="42" spans="2:19">
      <c r="H42" s="54" t="s">
        <v>350</v>
      </c>
      <c r="I42">
        <v>0.81960848535632747</v>
      </c>
      <c r="K42" t="s">
        <v>346</v>
      </c>
      <c r="L42">
        <v>175</v>
      </c>
    </row>
    <row r="43" spans="2:19">
      <c r="H43" s="54" t="s">
        <v>221</v>
      </c>
      <c r="I43">
        <v>0.68453212409913244</v>
      </c>
      <c r="K43" t="s">
        <v>347</v>
      </c>
      <c r="L43">
        <v>2533</v>
      </c>
    </row>
    <row r="44" spans="2:19">
      <c r="H44" s="54" t="s">
        <v>351</v>
      </c>
      <c r="I44">
        <v>1.5379655004445401</v>
      </c>
      <c r="K44" t="s">
        <v>348</v>
      </c>
      <c r="L44">
        <v>0</v>
      </c>
    </row>
    <row r="45" spans="2:19">
      <c r="K45" t="s">
        <v>212</v>
      </c>
      <c r="L45">
        <v>0</v>
      </c>
    </row>
    <row r="46" spans="2:19">
      <c r="K46" t="s">
        <v>208</v>
      </c>
      <c r="L46">
        <v>26</v>
      </c>
    </row>
    <row r="47" spans="2:19">
      <c r="K47" t="s">
        <v>349</v>
      </c>
      <c r="L47">
        <v>0</v>
      </c>
    </row>
    <row r="49" spans="11:13">
      <c r="M49">
        <v>0.81960848535632747</v>
      </c>
    </row>
    <row r="50" spans="11:13">
      <c r="K50" t="s">
        <v>347</v>
      </c>
      <c r="L50">
        <f>L42+L43</f>
        <v>2708</v>
      </c>
      <c r="M50">
        <f t="shared" ref="M50:M51" si="4">($M$49/SUM($L$50:$L$52))*L50</f>
        <v>2.7128606086304723E-2</v>
      </c>
    </row>
    <row r="51" spans="11:13">
      <c r="K51" t="s">
        <v>345</v>
      </c>
      <c r="L51">
        <v>79080</v>
      </c>
      <c r="M51">
        <f t="shared" si="4"/>
        <v>0.79221941259415718</v>
      </c>
    </row>
    <row r="52" spans="11:13">
      <c r="K52" t="s">
        <v>208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8"/>
  <sheetViews>
    <sheetView zoomScale="70" zoomScaleNormal="70" workbookViewId="0">
      <selection activeCell="G34" sqref="G34"/>
    </sheetView>
  </sheetViews>
  <sheetFormatPr defaultColWidth="9.140625" defaultRowHeight="15"/>
  <cols>
    <col min="1" max="1" width="37" style="267" customWidth="1"/>
    <col min="2" max="2" width="15.28515625" style="267" customWidth="1"/>
    <col min="3" max="16" width="9.140625" style="267"/>
    <col min="17" max="17" width="35" style="267" customWidth="1"/>
    <col min="18" max="18" width="15.140625" style="267" customWidth="1"/>
    <col min="19" max="16384" width="9.140625" style="267"/>
  </cols>
  <sheetData>
    <row r="1" spans="1:30">
      <c r="A1" s="265" t="s">
        <v>276</v>
      </c>
      <c r="B1" s="266" t="s">
        <v>277</v>
      </c>
      <c r="C1" s="266">
        <v>2015</v>
      </c>
      <c r="D1" s="266">
        <v>2016</v>
      </c>
      <c r="E1" s="266">
        <v>2018</v>
      </c>
      <c r="F1" s="266">
        <v>2021</v>
      </c>
      <c r="G1" s="266">
        <v>2025</v>
      </c>
      <c r="H1" s="266">
        <v>2030</v>
      </c>
      <c r="I1" s="266">
        <v>2035</v>
      </c>
      <c r="J1" s="266">
        <v>2040</v>
      </c>
      <c r="K1" s="266">
        <v>2045</v>
      </c>
      <c r="L1" s="266">
        <v>2050</v>
      </c>
      <c r="M1" s="266">
        <v>2055</v>
      </c>
      <c r="N1" s="266">
        <v>2060</v>
      </c>
      <c r="Q1" s="268" t="s">
        <v>278</v>
      </c>
      <c r="R1" s="269" t="s">
        <v>277</v>
      </c>
      <c r="S1" s="269">
        <v>2015</v>
      </c>
      <c r="T1" s="269">
        <v>2016</v>
      </c>
      <c r="U1" s="269">
        <v>2018</v>
      </c>
      <c r="V1" s="269">
        <v>2021</v>
      </c>
      <c r="W1" s="269">
        <v>2025</v>
      </c>
      <c r="X1" s="269">
        <v>2030</v>
      </c>
      <c r="Y1" s="269">
        <v>2035</v>
      </c>
      <c r="Z1" s="269">
        <v>2040</v>
      </c>
      <c r="AA1" s="269">
        <v>2045</v>
      </c>
      <c r="AB1" s="269">
        <v>2050</v>
      </c>
      <c r="AC1" s="269">
        <v>2055</v>
      </c>
      <c r="AD1" s="269">
        <v>2060</v>
      </c>
    </row>
    <row r="2" spans="1:30">
      <c r="A2" s="270" t="s">
        <v>279</v>
      </c>
      <c r="B2" s="270" t="s">
        <v>93</v>
      </c>
      <c r="C2" s="271">
        <v>24.17</v>
      </c>
      <c r="D2" s="271">
        <v>25.19</v>
      </c>
      <c r="E2" s="271">
        <v>26.5</v>
      </c>
      <c r="F2" s="271">
        <v>28.37</v>
      </c>
      <c r="G2" s="271">
        <v>30.96</v>
      </c>
      <c r="H2" s="271">
        <v>34.549999999999997</v>
      </c>
      <c r="I2" s="271">
        <v>37.83</v>
      </c>
      <c r="J2" s="271">
        <v>40.08</v>
      </c>
      <c r="K2" s="271">
        <v>42.65</v>
      </c>
      <c r="L2" s="271">
        <v>45.41</v>
      </c>
      <c r="M2" s="271">
        <v>47.82</v>
      </c>
      <c r="N2" s="271">
        <v>50.05</v>
      </c>
      <c r="O2" s="272"/>
      <c r="P2" s="272"/>
      <c r="Q2" s="271" t="s">
        <v>279</v>
      </c>
      <c r="R2" s="271" t="s">
        <v>93</v>
      </c>
      <c r="S2" s="271">
        <v>8.43</v>
      </c>
      <c r="T2" s="271">
        <v>8.7899999999999991</v>
      </c>
      <c r="U2" s="271">
        <v>9.24</v>
      </c>
      <c r="V2" s="271">
        <v>9.9</v>
      </c>
      <c r="W2" s="271">
        <v>10.8</v>
      </c>
      <c r="X2" s="271">
        <v>12.05</v>
      </c>
      <c r="Y2" s="271">
        <v>13.2</v>
      </c>
      <c r="Z2" s="271">
        <v>13.98</v>
      </c>
      <c r="AA2" s="271">
        <v>14.88</v>
      </c>
      <c r="AB2" s="271">
        <v>15.84</v>
      </c>
      <c r="AC2" s="271">
        <v>16.68</v>
      </c>
      <c r="AD2" s="271">
        <v>17.46</v>
      </c>
    </row>
    <row r="3" spans="1:30">
      <c r="A3" s="267" t="s">
        <v>280</v>
      </c>
      <c r="B3" s="267" t="s">
        <v>93</v>
      </c>
      <c r="C3" s="272">
        <v>5.12</v>
      </c>
      <c r="D3" s="272">
        <v>5.53</v>
      </c>
      <c r="E3" s="272">
        <v>6.45</v>
      </c>
      <c r="F3" s="272">
        <v>7.08</v>
      </c>
      <c r="G3" s="272">
        <v>7.94</v>
      </c>
      <c r="H3" s="272">
        <v>9.18</v>
      </c>
      <c r="I3" s="272">
        <v>10.45</v>
      </c>
      <c r="J3" s="272">
        <v>11.56</v>
      </c>
      <c r="K3" s="272">
        <v>12.85</v>
      </c>
      <c r="L3" s="272">
        <v>14.25</v>
      </c>
      <c r="M3" s="272">
        <v>15.58</v>
      </c>
      <c r="N3" s="272">
        <v>16.82</v>
      </c>
      <c r="O3" s="272"/>
      <c r="P3" s="272"/>
      <c r="Q3" s="272" t="s">
        <v>280</v>
      </c>
      <c r="R3" s="272" t="s">
        <v>93</v>
      </c>
      <c r="S3" s="272">
        <v>2.13</v>
      </c>
      <c r="T3" s="272">
        <v>2.2999999999999998</v>
      </c>
      <c r="U3" s="272">
        <v>2.69</v>
      </c>
      <c r="V3" s="272">
        <v>2.95</v>
      </c>
      <c r="W3" s="272">
        <v>3.31</v>
      </c>
      <c r="X3" s="272">
        <v>3.83</v>
      </c>
      <c r="Y3" s="272">
        <v>4.3600000000000003</v>
      </c>
      <c r="Z3" s="272">
        <v>4.82</v>
      </c>
      <c r="AA3" s="272">
        <v>5.36</v>
      </c>
      <c r="AB3" s="272">
        <v>5.94</v>
      </c>
      <c r="AC3" s="272">
        <v>6.49</v>
      </c>
      <c r="AD3" s="272">
        <v>7.01</v>
      </c>
    </row>
    <row r="4" spans="1:30">
      <c r="A4" s="270" t="s">
        <v>281</v>
      </c>
      <c r="B4" s="270" t="s">
        <v>93</v>
      </c>
      <c r="C4" s="271">
        <v>0.55000000000000004</v>
      </c>
      <c r="D4" s="271">
        <v>0.56999999999999995</v>
      </c>
      <c r="E4" s="271">
        <v>0.6</v>
      </c>
      <c r="F4" s="271">
        <v>0.64</v>
      </c>
      <c r="G4" s="271">
        <v>0.68</v>
      </c>
      <c r="H4" s="271">
        <v>0.73</v>
      </c>
      <c r="I4" s="271">
        <v>0.77</v>
      </c>
      <c r="J4" s="271">
        <v>0.78</v>
      </c>
      <c r="K4" s="271">
        <v>0.79</v>
      </c>
      <c r="L4" s="271">
        <v>0.81</v>
      </c>
      <c r="M4" s="271">
        <v>0.81</v>
      </c>
      <c r="N4" s="271">
        <v>0.81</v>
      </c>
      <c r="O4" s="272"/>
      <c r="P4" s="272"/>
      <c r="Q4" s="271" t="s">
        <v>281</v>
      </c>
      <c r="R4" s="271" t="s">
        <v>93</v>
      </c>
      <c r="S4" s="271">
        <v>0.23</v>
      </c>
      <c r="T4" s="271">
        <v>0.24</v>
      </c>
      <c r="U4" s="271">
        <v>0.25</v>
      </c>
      <c r="V4" s="271">
        <v>0.27</v>
      </c>
      <c r="W4" s="271">
        <v>0.28999999999999998</v>
      </c>
      <c r="X4" s="271">
        <v>0.31</v>
      </c>
      <c r="Y4" s="271">
        <v>0.32</v>
      </c>
      <c r="Z4" s="271">
        <v>0.33</v>
      </c>
      <c r="AA4" s="271">
        <v>0.33</v>
      </c>
      <c r="AB4" s="271">
        <v>0.34</v>
      </c>
      <c r="AC4" s="271">
        <v>0.34</v>
      </c>
      <c r="AD4" s="271">
        <v>0.34</v>
      </c>
    </row>
    <row r="5" spans="1:30">
      <c r="A5" s="267" t="s">
        <v>282</v>
      </c>
      <c r="B5" s="267" t="s">
        <v>93</v>
      </c>
      <c r="C5" s="272">
        <v>0.42523616734143049</v>
      </c>
      <c r="D5" s="272">
        <v>0.43756185335132702</v>
      </c>
      <c r="E5" s="272">
        <v>0.46221322537112014</v>
      </c>
      <c r="F5" s="272">
        <v>0.49302744039586149</v>
      </c>
      <c r="G5" s="272">
        <v>0.52384165542060279</v>
      </c>
      <c r="H5" s="272">
        <v>0.56390013495276659</v>
      </c>
      <c r="I5" s="272">
        <v>0.59163292847503379</v>
      </c>
      <c r="J5" s="272">
        <v>0.60087719298245612</v>
      </c>
      <c r="K5" s="272">
        <v>0.61320287899235271</v>
      </c>
      <c r="L5" s="272">
        <v>0.62244714349977515</v>
      </c>
      <c r="M5" s="272">
        <v>0.62552856500224918</v>
      </c>
      <c r="N5" s="272">
        <v>0.62552856500224918</v>
      </c>
      <c r="O5" s="272"/>
      <c r="P5" s="272"/>
      <c r="Q5" s="272" t="s">
        <v>282</v>
      </c>
      <c r="R5" s="272" t="s">
        <v>93</v>
      </c>
      <c r="S5" s="272">
        <v>0.17872244714349977</v>
      </c>
      <c r="T5" s="272">
        <v>0.18488529014844804</v>
      </c>
      <c r="U5" s="272">
        <v>0.19412955465587045</v>
      </c>
      <c r="V5" s="272">
        <v>0.20645524066576701</v>
      </c>
      <c r="W5" s="272">
        <v>0.22186234817813766</v>
      </c>
      <c r="X5" s="272">
        <v>0.23726945569050834</v>
      </c>
      <c r="Y5" s="272">
        <v>0.24959514170040489</v>
      </c>
      <c r="Z5" s="272">
        <v>0.25267656320287901</v>
      </c>
      <c r="AA5" s="272">
        <v>0.25575798470535316</v>
      </c>
      <c r="AB5" s="272">
        <v>0.2619208277103014</v>
      </c>
      <c r="AC5" s="272">
        <v>0.2619208277103014</v>
      </c>
      <c r="AD5" s="272">
        <v>0.2619208277103014</v>
      </c>
    </row>
    <row r="6" spans="1:30">
      <c r="A6" s="352" t="s">
        <v>332</v>
      </c>
      <c r="B6" s="267" t="s">
        <v>93</v>
      </c>
      <c r="C6" s="272">
        <v>0.95476383265856957</v>
      </c>
      <c r="D6" s="272">
        <v>0.98243814664867302</v>
      </c>
      <c r="E6" s="272">
        <v>1.03778677462888</v>
      </c>
      <c r="F6" s="272">
        <v>1.1069725596041387</v>
      </c>
      <c r="G6" s="272">
        <v>1.1761583445793973</v>
      </c>
      <c r="H6" s="272">
        <v>1.2660998650472337</v>
      </c>
      <c r="I6" s="272">
        <v>1.3283670715249665</v>
      </c>
      <c r="J6" s="272">
        <v>1.3491228070175441</v>
      </c>
      <c r="K6" s="272">
        <v>1.3767971210076475</v>
      </c>
      <c r="L6" s="272">
        <v>1.3975528565002251</v>
      </c>
      <c r="M6" s="272">
        <v>1.4044714349977507</v>
      </c>
      <c r="N6" s="272">
        <v>1.4044714349977507</v>
      </c>
      <c r="O6" s="272"/>
      <c r="P6" s="272"/>
      <c r="Q6" s="352" t="s">
        <v>332</v>
      </c>
      <c r="R6" s="272" t="s">
        <v>93</v>
      </c>
      <c r="S6" s="272">
        <v>0.40127755285650024</v>
      </c>
      <c r="T6" s="272">
        <v>0.41511470985155202</v>
      </c>
      <c r="U6" s="272">
        <v>0.43587044534412961</v>
      </c>
      <c r="V6" s="272">
        <v>0.46354475933423311</v>
      </c>
      <c r="W6" s="272">
        <v>0.49813765182186237</v>
      </c>
      <c r="X6" s="272">
        <v>0.53273054430949174</v>
      </c>
      <c r="Y6" s="272">
        <v>0.5604048582995953</v>
      </c>
      <c r="Z6" s="272">
        <v>0.56732343679712105</v>
      </c>
      <c r="AA6" s="272">
        <v>0.57424201529464691</v>
      </c>
      <c r="AB6" s="272">
        <v>0.58807917228969864</v>
      </c>
      <c r="AC6" s="272">
        <v>0.58807917228969864</v>
      </c>
      <c r="AD6" s="272">
        <v>0.58807917228969864</v>
      </c>
    </row>
    <row r="7" spans="1:30">
      <c r="A7" s="270" t="s">
        <v>223</v>
      </c>
      <c r="B7" s="270" t="s">
        <v>93</v>
      </c>
      <c r="C7" s="271">
        <v>0.28999999999999998</v>
      </c>
      <c r="D7" s="271">
        <v>0.3</v>
      </c>
      <c r="E7" s="271">
        <v>0.3</v>
      </c>
      <c r="F7" s="271">
        <v>0.32</v>
      </c>
      <c r="G7" s="271">
        <v>0.34</v>
      </c>
      <c r="H7" s="271">
        <v>0.36</v>
      </c>
      <c r="I7" s="271">
        <v>0.37</v>
      </c>
      <c r="J7" s="271">
        <v>0.36</v>
      </c>
      <c r="K7" s="271">
        <v>0.36</v>
      </c>
      <c r="L7" s="271">
        <v>0.38</v>
      </c>
      <c r="M7" s="271">
        <v>0.38</v>
      </c>
      <c r="N7" s="271">
        <v>0.39</v>
      </c>
      <c r="O7" s="272"/>
      <c r="P7" s="272"/>
      <c r="Q7" s="271" t="s">
        <v>223</v>
      </c>
      <c r="R7" s="271" t="s">
        <v>93</v>
      </c>
      <c r="S7" s="271">
        <v>0.11</v>
      </c>
      <c r="T7" s="271">
        <v>0.12</v>
      </c>
      <c r="U7" s="271">
        <v>0.11</v>
      </c>
      <c r="V7" s="271">
        <v>0.12</v>
      </c>
      <c r="W7" s="271">
        <v>0.13</v>
      </c>
      <c r="X7" s="271">
        <v>0.14000000000000001</v>
      </c>
      <c r="Y7" s="271">
        <v>0.14000000000000001</v>
      </c>
      <c r="Z7" s="271">
        <v>0.14000000000000001</v>
      </c>
      <c r="AA7" s="271">
        <v>0.14000000000000001</v>
      </c>
      <c r="AB7" s="271">
        <v>0.14000000000000001</v>
      </c>
      <c r="AC7" s="271">
        <v>0.15</v>
      </c>
      <c r="AD7" s="271">
        <v>0.15</v>
      </c>
    </row>
    <row r="8" spans="1:30">
      <c r="A8" s="267" t="s">
        <v>222</v>
      </c>
      <c r="B8" s="267" t="s">
        <v>93</v>
      </c>
      <c r="C8" s="272">
        <v>0.18</v>
      </c>
      <c r="D8" s="272">
        <v>0.19</v>
      </c>
      <c r="E8" s="272">
        <v>0.21</v>
      </c>
      <c r="F8" s="272">
        <v>0.24</v>
      </c>
      <c r="G8" s="272">
        <v>0.27</v>
      </c>
      <c r="H8" s="272">
        <v>0.32</v>
      </c>
      <c r="I8" s="272">
        <v>0.37</v>
      </c>
      <c r="J8" s="272">
        <v>0.42</v>
      </c>
      <c r="K8" s="272">
        <v>0.47</v>
      </c>
      <c r="L8" s="272">
        <v>0.52</v>
      </c>
      <c r="M8" s="272">
        <v>0.57999999999999996</v>
      </c>
      <c r="N8" s="272">
        <v>0.63</v>
      </c>
      <c r="O8" s="272"/>
      <c r="P8" s="272"/>
      <c r="Q8" s="272" t="s">
        <v>222</v>
      </c>
      <c r="R8" s="272" t="s">
        <v>93</v>
      </c>
      <c r="S8" s="272">
        <v>0.09</v>
      </c>
      <c r="T8" s="272">
        <v>0.09</v>
      </c>
      <c r="U8" s="272">
        <v>0.1</v>
      </c>
      <c r="V8" s="272">
        <v>0.11</v>
      </c>
      <c r="W8" s="272">
        <v>0.13</v>
      </c>
      <c r="X8" s="272">
        <v>0.15</v>
      </c>
      <c r="Y8" s="272">
        <v>0.18</v>
      </c>
      <c r="Z8" s="272">
        <v>0.2</v>
      </c>
      <c r="AA8" s="272">
        <v>0.22</v>
      </c>
      <c r="AB8" s="272">
        <v>0.25</v>
      </c>
      <c r="AC8" s="272">
        <v>0.28000000000000003</v>
      </c>
      <c r="AD8" s="272">
        <v>0.3</v>
      </c>
    </row>
    <row r="9" spans="1:30">
      <c r="A9" s="270" t="s">
        <v>283</v>
      </c>
      <c r="B9" s="270" t="s">
        <v>40</v>
      </c>
      <c r="C9" s="271">
        <v>2</v>
      </c>
      <c r="D9" s="271">
        <v>1.4</v>
      </c>
      <c r="E9" s="271">
        <v>1.22</v>
      </c>
      <c r="F9" s="271">
        <v>1.23</v>
      </c>
      <c r="G9" s="271">
        <v>1.29</v>
      </c>
      <c r="H9" s="271">
        <v>1.39</v>
      </c>
      <c r="I9" s="271">
        <v>1.49</v>
      </c>
      <c r="J9" s="271">
        <v>1.59</v>
      </c>
      <c r="K9" s="271">
        <v>1.68</v>
      </c>
      <c r="L9" s="271">
        <v>1.75</v>
      </c>
      <c r="M9" s="271">
        <v>1.82</v>
      </c>
      <c r="N9" s="271">
        <v>1.89</v>
      </c>
      <c r="O9" s="272"/>
      <c r="P9" s="272"/>
      <c r="Q9" s="271" t="s">
        <v>283</v>
      </c>
      <c r="R9" s="271" t="s">
        <v>40</v>
      </c>
      <c r="S9" s="271">
        <v>3.86</v>
      </c>
      <c r="T9" s="271">
        <v>2.71</v>
      </c>
      <c r="U9" s="271">
        <v>2.4</v>
      </c>
      <c r="V9" s="271">
        <v>2.4900000000000002</v>
      </c>
      <c r="W9" s="271">
        <v>2.59</v>
      </c>
      <c r="X9" s="271">
        <v>2.68</v>
      </c>
      <c r="Y9" s="271">
        <v>2.78</v>
      </c>
      <c r="Z9" s="271">
        <v>2.89</v>
      </c>
      <c r="AA9" s="271">
        <v>3</v>
      </c>
      <c r="AB9" s="271">
        <v>3.11</v>
      </c>
      <c r="AC9" s="271">
        <v>3.22</v>
      </c>
      <c r="AD9" s="271">
        <v>3.34</v>
      </c>
    </row>
    <row r="10" spans="1:30">
      <c r="A10" s="267" t="s">
        <v>284</v>
      </c>
      <c r="B10" s="267" t="s">
        <v>40</v>
      </c>
      <c r="C10" s="272">
        <v>9.6999999999999993</v>
      </c>
      <c r="D10" s="272">
        <v>8.8000000000000007</v>
      </c>
      <c r="E10" s="272">
        <v>9.18</v>
      </c>
      <c r="F10" s="272">
        <v>9.76</v>
      </c>
      <c r="G10" s="272">
        <v>10.68</v>
      </c>
      <c r="H10" s="272">
        <v>12.03</v>
      </c>
      <c r="I10" s="272">
        <v>13.76</v>
      </c>
      <c r="J10" s="272">
        <v>14.85</v>
      </c>
      <c r="K10" s="272">
        <v>15.95</v>
      </c>
      <c r="L10" s="272">
        <v>16.8</v>
      </c>
      <c r="M10" s="272">
        <v>17.690000000000001</v>
      </c>
      <c r="N10" s="272">
        <v>18.63</v>
      </c>
      <c r="O10" s="272"/>
      <c r="P10" s="272"/>
      <c r="Q10" s="272" t="s">
        <v>284</v>
      </c>
      <c r="R10" s="272" t="s">
        <v>40</v>
      </c>
      <c r="S10" s="272">
        <v>2.71</v>
      </c>
      <c r="T10" s="272">
        <v>2.46</v>
      </c>
      <c r="U10" s="272">
        <v>2.56</v>
      </c>
      <c r="V10" s="272">
        <v>2.73</v>
      </c>
      <c r="W10" s="272">
        <v>2.98</v>
      </c>
      <c r="X10" s="272">
        <v>3.36</v>
      </c>
      <c r="Y10" s="272">
        <v>3.84</v>
      </c>
      <c r="Z10" s="272">
        <v>4.1500000000000004</v>
      </c>
      <c r="AA10" s="272">
        <v>4.45</v>
      </c>
      <c r="AB10" s="272">
        <v>4.6900000000000004</v>
      </c>
      <c r="AC10" s="272">
        <v>4.9400000000000004</v>
      </c>
      <c r="AD10" s="272">
        <v>5.2</v>
      </c>
    </row>
    <row r="11" spans="1:30">
      <c r="A11" s="270" t="s">
        <v>285</v>
      </c>
      <c r="B11" s="270" t="s">
        <v>40</v>
      </c>
      <c r="C11" s="271">
        <v>8.19</v>
      </c>
      <c r="D11" s="271">
        <v>8.9600000000000009</v>
      </c>
      <c r="E11" s="271">
        <v>10.71</v>
      </c>
      <c r="F11" s="271">
        <v>11.6</v>
      </c>
      <c r="G11" s="271">
        <v>13.23</v>
      </c>
      <c r="H11" s="271">
        <v>15.55</v>
      </c>
      <c r="I11" s="271">
        <v>18.12</v>
      </c>
      <c r="J11" s="271">
        <v>19.97</v>
      </c>
      <c r="K11" s="271">
        <v>22.05</v>
      </c>
      <c r="L11" s="271">
        <v>24.35</v>
      </c>
      <c r="M11" s="271">
        <v>25.42</v>
      </c>
      <c r="N11" s="271">
        <v>26.53</v>
      </c>
      <c r="O11" s="272"/>
      <c r="P11" s="272"/>
      <c r="Q11" s="271" t="s">
        <v>285</v>
      </c>
      <c r="R11" s="271" t="s">
        <v>40</v>
      </c>
      <c r="S11" s="271">
        <v>4.22</v>
      </c>
      <c r="T11" s="271">
        <v>4.62</v>
      </c>
      <c r="U11" s="271">
        <v>5.52</v>
      </c>
      <c r="V11" s="271">
        <v>5.97</v>
      </c>
      <c r="W11" s="271">
        <v>6.82</v>
      </c>
      <c r="X11" s="271">
        <v>8.01</v>
      </c>
      <c r="Y11" s="271">
        <v>9.33</v>
      </c>
      <c r="Z11" s="271">
        <v>10.29</v>
      </c>
      <c r="AA11" s="271">
        <v>11.36</v>
      </c>
      <c r="AB11" s="271">
        <v>12.54</v>
      </c>
      <c r="AC11" s="271">
        <v>13.09</v>
      </c>
      <c r="AD11" s="271">
        <v>13.67</v>
      </c>
    </row>
    <row r="12" spans="1:30">
      <c r="A12" s="267" t="s">
        <v>286</v>
      </c>
      <c r="B12" s="267" t="s">
        <v>40</v>
      </c>
      <c r="C12" s="272">
        <v>32.29</v>
      </c>
      <c r="D12" s="272">
        <v>38.85</v>
      </c>
      <c r="E12" s="272">
        <v>45.72</v>
      </c>
      <c r="F12" s="272">
        <v>49.43</v>
      </c>
      <c r="G12" s="272">
        <v>56.09</v>
      </c>
      <c r="H12" s="272">
        <v>66.39</v>
      </c>
      <c r="I12" s="272">
        <v>78.2</v>
      </c>
      <c r="J12" s="272">
        <v>86.85</v>
      </c>
      <c r="K12" s="272">
        <v>96.66</v>
      </c>
      <c r="L12" s="272">
        <v>107.57</v>
      </c>
      <c r="M12" s="272">
        <v>112.82</v>
      </c>
      <c r="N12" s="272">
        <v>118.33</v>
      </c>
      <c r="O12" s="272"/>
      <c r="P12" s="272"/>
      <c r="Q12" s="272" t="s">
        <v>286</v>
      </c>
      <c r="R12" s="272" t="s">
        <v>40</v>
      </c>
      <c r="S12" s="272">
        <v>8.07</v>
      </c>
      <c r="T12" s="272">
        <v>9.7100000000000009</v>
      </c>
      <c r="U12" s="272">
        <v>11.43</v>
      </c>
      <c r="V12" s="272">
        <v>12.36</v>
      </c>
      <c r="W12" s="272">
        <v>14.02</v>
      </c>
      <c r="X12" s="272">
        <v>16.600000000000001</v>
      </c>
      <c r="Y12" s="272">
        <v>19.55</v>
      </c>
      <c r="Z12" s="272">
        <v>21.71</v>
      </c>
      <c r="AA12" s="272">
        <v>24.16</v>
      </c>
      <c r="AB12" s="272">
        <v>26.89</v>
      </c>
      <c r="AC12" s="272">
        <v>28.21</v>
      </c>
      <c r="AD12" s="272">
        <v>29.58</v>
      </c>
    </row>
    <row r="13" spans="1:30">
      <c r="A13" s="270" t="s">
        <v>287</v>
      </c>
      <c r="B13" s="270" t="s">
        <v>40</v>
      </c>
      <c r="C13" s="271">
        <v>1.37</v>
      </c>
      <c r="D13" s="271">
        <v>1.27</v>
      </c>
      <c r="E13" s="271">
        <v>1.17</v>
      </c>
      <c r="F13" s="271">
        <v>1.25</v>
      </c>
      <c r="G13" s="271">
        <v>1.32</v>
      </c>
      <c r="H13" s="271">
        <v>1.4</v>
      </c>
      <c r="I13" s="271">
        <v>1.46</v>
      </c>
      <c r="J13" s="271">
        <v>1.5</v>
      </c>
      <c r="K13" s="271">
        <v>1.54</v>
      </c>
      <c r="L13" s="271">
        <v>1.59</v>
      </c>
      <c r="M13" s="271">
        <v>1.63</v>
      </c>
      <c r="N13" s="271">
        <v>1.68</v>
      </c>
      <c r="O13" s="272"/>
      <c r="P13" s="272"/>
      <c r="Q13" s="271" t="s">
        <v>287</v>
      </c>
      <c r="R13" s="271" t="s">
        <v>40</v>
      </c>
      <c r="S13" s="271">
        <v>0.48</v>
      </c>
      <c r="T13" s="271">
        <v>0.45</v>
      </c>
      <c r="U13" s="271">
        <v>0.41</v>
      </c>
      <c r="V13" s="271">
        <v>0.4</v>
      </c>
      <c r="W13" s="271">
        <v>0.41</v>
      </c>
      <c r="X13" s="271">
        <v>0.44</v>
      </c>
      <c r="Y13" s="271">
        <v>0.46</v>
      </c>
      <c r="Z13" s="271">
        <v>0.48</v>
      </c>
      <c r="AA13" s="271">
        <v>0.49</v>
      </c>
      <c r="AB13" s="271">
        <v>0.5</v>
      </c>
      <c r="AC13" s="271">
        <v>0.5</v>
      </c>
      <c r="AD13" s="271">
        <v>0.51</v>
      </c>
    </row>
    <row r="14" spans="1:30">
      <c r="A14" s="267" t="s">
        <v>288</v>
      </c>
      <c r="B14" s="267" t="s">
        <v>40</v>
      </c>
      <c r="C14" s="272">
        <v>0.6</v>
      </c>
      <c r="D14" s="272">
        <v>0.33</v>
      </c>
      <c r="E14" s="272">
        <v>0.35</v>
      </c>
      <c r="F14" s="272">
        <v>0.43</v>
      </c>
      <c r="G14" s="272">
        <v>0.63</v>
      </c>
      <c r="H14" s="272">
        <v>0.91</v>
      </c>
      <c r="I14" s="272">
        <v>1.1000000000000001</v>
      </c>
      <c r="J14" s="272">
        <v>1.21</v>
      </c>
      <c r="K14" s="272">
        <v>1.32</v>
      </c>
      <c r="L14" s="272">
        <v>1.45</v>
      </c>
      <c r="M14" s="272">
        <v>1.59</v>
      </c>
      <c r="N14" s="272">
        <v>1.73</v>
      </c>
      <c r="O14" s="272"/>
      <c r="P14" s="272"/>
      <c r="Q14" s="272" t="s">
        <v>288</v>
      </c>
      <c r="R14" s="272" t="s">
        <v>40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0</v>
      </c>
      <c r="Y14" s="272">
        <v>0</v>
      </c>
      <c r="Z14" s="272">
        <v>0</v>
      </c>
      <c r="AA14" s="272">
        <v>0</v>
      </c>
      <c r="AB14" s="272">
        <v>0</v>
      </c>
      <c r="AC14" s="272">
        <v>0</v>
      </c>
      <c r="AD14" s="272">
        <v>0</v>
      </c>
    </row>
    <row r="15" spans="1:30">
      <c r="A15" s="270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2"/>
      <c r="P15" s="272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</row>
    <row r="16" spans="1:30">
      <c r="A16" s="265" t="s">
        <v>276</v>
      </c>
      <c r="B16" s="266" t="s">
        <v>289</v>
      </c>
      <c r="C16" s="266">
        <v>2015</v>
      </c>
      <c r="D16" s="266">
        <v>2016</v>
      </c>
      <c r="E16" s="266">
        <v>2018</v>
      </c>
      <c r="F16" s="266">
        <v>2021</v>
      </c>
      <c r="G16" s="266">
        <v>2025</v>
      </c>
      <c r="H16" s="266">
        <v>2030</v>
      </c>
      <c r="I16" s="266">
        <v>2035</v>
      </c>
      <c r="J16" s="266">
        <v>2040</v>
      </c>
      <c r="K16" s="266">
        <v>2045</v>
      </c>
      <c r="L16" s="266">
        <v>2050</v>
      </c>
      <c r="M16" s="266">
        <v>2055</v>
      </c>
      <c r="N16" s="266">
        <v>2060</v>
      </c>
      <c r="O16" s="272"/>
      <c r="P16" s="272"/>
      <c r="Q16" s="273" t="s">
        <v>278</v>
      </c>
      <c r="R16" s="274" t="s">
        <v>289</v>
      </c>
      <c r="S16" s="269">
        <v>2015</v>
      </c>
      <c r="T16" s="269">
        <v>2016</v>
      </c>
      <c r="U16" s="269">
        <v>2018</v>
      </c>
      <c r="V16" s="269">
        <v>2021</v>
      </c>
      <c r="W16" s="269">
        <v>2025</v>
      </c>
      <c r="X16" s="269">
        <v>2030</v>
      </c>
      <c r="Y16" s="269">
        <v>2035</v>
      </c>
      <c r="Z16" s="269">
        <v>2040</v>
      </c>
      <c r="AA16" s="269">
        <v>2045</v>
      </c>
      <c r="AB16" s="269">
        <v>2050</v>
      </c>
      <c r="AC16" s="269">
        <v>2055</v>
      </c>
      <c r="AD16" s="269">
        <v>2060</v>
      </c>
    </row>
    <row r="17" spans="1:30">
      <c r="A17" s="270" t="s">
        <v>279</v>
      </c>
      <c r="B17" s="270" t="s">
        <v>93</v>
      </c>
      <c r="C17" s="271">
        <v>24.17</v>
      </c>
      <c r="D17" s="271">
        <v>25.19</v>
      </c>
      <c r="E17" s="271">
        <v>26.5</v>
      </c>
      <c r="F17" s="271">
        <v>26.42</v>
      </c>
      <c r="G17" s="271">
        <v>26.64</v>
      </c>
      <c r="H17" s="271">
        <v>27.36</v>
      </c>
      <c r="I17" s="271">
        <v>28.07</v>
      </c>
      <c r="J17" s="271">
        <v>29.04</v>
      </c>
      <c r="K17" s="271">
        <v>29.98</v>
      </c>
      <c r="L17" s="271">
        <v>31.13</v>
      </c>
      <c r="M17" s="271">
        <v>33.11</v>
      </c>
      <c r="N17" s="271">
        <v>35.08</v>
      </c>
      <c r="O17" s="272"/>
      <c r="P17" s="272"/>
      <c r="Q17" s="271" t="s">
        <v>279</v>
      </c>
      <c r="R17" s="271" t="s">
        <v>93</v>
      </c>
      <c r="S17" s="271">
        <v>8.43</v>
      </c>
      <c r="T17" s="271">
        <v>8.7899999999999991</v>
      </c>
      <c r="U17" s="271">
        <v>9.24</v>
      </c>
      <c r="V17" s="271">
        <v>9.2200000000000006</v>
      </c>
      <c r="W17" s="271">
        <v>9.2899999999999991</v>
      </c>
      <c r="X17" s="271">
        <v>9.5500000000000007</v>
      </c>
      <c r="Y17" s="271">
        <v>9.7899999999999991</v>
      </c>
      <c r="Z17" s="271">
        <v>10.130000000000001</v>
      </c>
      <c r="AA17" s="271">
        <v>10.46</v>
      </c>
      <c r="AB17" s="271">
        <v>10.86</v>
      </c>
      <c r="AC17" s="271">
        <v>11.55</v>
      </c>
      <c r="AD17" s="271">
        <v>12.24</v>
      </c>
    </row>
    <row r="18" spans="1:30">
      <c r="A18" s="267" t="s">
        <v>280</v>
      </c>
      <c r="B18" s="267" t="s">
        <v>93</v>
      </c>
      <c r="C18" s="272">
        <v>5.12</v>
      </c>
      <c r="D18" s="272">
        <v>5.53</v>
      </c>
      <c r="E18" s="272">
        <v>6.45</v>
      </c>
      <c r="F18" s="272">
        <v>6.74</v>
      </c>
      <c r="G18" s="272">
        <v>7.03</v>
      </c>
      <c r="H18" s="272">
        <v>7.45</v>
      </c>
      <c r="I18" s="272">
        <v>7.89</v>
      </c>
      <c r="J18" s="272">
        <v>8.43</v>
      </c>
      <c r="K18" s="272">
        <v>9.01</v>
      </c>
      <c r="L18" s="272">
        <v>9.66</v>
      </c>
      <c r="M18" s="272">
        <v>10.58</v>
      </c>
      <c r="N18" s="272">
        <v>11.51</v>
      </c>
      <c r="O18" s="272"/>
      <c r="P18" s="272"/>
      <c r="Q18" s="272" t="s">
        <v>280</v>
      </c>
      <c r="R18" s="272" t="s">
        <v>93</v>
      </c>
      <c r="S18" s="272">
        <v>2.13</v>
      </c>
      <c r="T18" s="272">
        <v>2.2999999999999998</v>
      </c>
      <c r="U18" s="272">
        <v>2.69</v>
      </c>
      <c r="V18" s="272">
        <v>2.81</v>
      </c>
      <c r="W18" s="272">
        <v>2.93</v>
      </c>
      <c r="X18" s="272">
        <v>3.11</v>
      </c>
      <c r="Y18" s="272">
        <v>3.29</v>
      </c>
      <c r="Z18" s="272">
        <v>3.52</v>
      </c>
      <c r="AA18" s="272">
        <v>3.75</v>
      </c>
      <c r="AB18" s="272">
        <v>4.03</v>
      </c>
      <c r="AC18" s="272">
        <v>4.41</v>
      </c>
      <c r="AD18" s="272">
        <v>4.8</v>
      </c>
    </row>
    <row r="19" spans="1:30">
      <c r="A19" s="270" t="s">
        <v>281</v>
      </c>
      <c r="B19" s="270" t="s">
        <v>93</v>
      </c>
      <c r="C19" s="271">
        <v>0.55000000000000004</v>
      </c>
      <c r="D19" s="271">
        <v>0.56999999999999995</v>
      </c>
      <c r="E19" s="271">
        <v>0.6</v>
      </c>
      <c r="F19" s="271">
        <v>0.63</v>
      </c>
      <c r="G19" s="271">
        <v>0.65</v>
      </c>
      <c r="H19" s="271">
        <v>0.66</v>
      </c>
      <c r="I19" s="271">
        <v>0.67</v>
      </c>
      <c r="J19" s="271">
        <v>0.67</v>
      </c>
      <c r="K19" s="271">
        <v>0.68</v>
      </c>
      <c r="L19" s="271">
        <v>0.69</v>
      </c>
      <c r="M19" s="271">
        <v>0.72</v>
      </c>
      <c r="N19" s="271">
        <v>0.75</v>
      </c>
      <c r="O19" s="272"/>
      <c r="P19" s="272"/>
      <c r="Q19" s="271" t="s">
        <v>281</v>
      </c>
      <c r="R19" s="271" t="s">
        <v>93</v>
      </c>
      <c r="S19" s="271">
        <v>0.23</v>
      </c>
      <c r="T19" s="271">
        <v>0.24</v>
      </c>
      <c r="U19" s="271">
        <v>0.25</v>
      </c>
      <c r="V19" s="271">
        <v>0.27</v>
      </c>
      <c r="W19" s="271">
        <v>0.27</v>
      </c>
      <c r="X19" s="271">
        <v>0.28000000000000003</v>
      </c>
      <c r="Y19" s="271">
        <v>0.28000000000000003</v>
      </c>
      <c r="Z19" s="271">
        <v>0.28000000000000003</v>
      </c>
      <c r="AA19" s="271">
        <v>0.28000000000000003</v>
      </c>
      <c r="AB19" s="271">
        <v>0.28999999999999998</v>
      </c>
      <c r="AC19" s="271">
        <v>0.3</v>
      </c>
      <c r="AD19" s="271">
        <v>0.31</v>
      </c>
    </row>
    <row r="20" spans="1:30">
      <c r="A20" s="267" t="s">
        <v>282</v>
      </c>
      <c r="B20" s="267" t="s">
        <v>93</v>
      </c>
      <c r="C20" s="272">
        <v>0.42523616734143049</v>
      </c>
      <c r="D20" s="272">
        <v>0.43756185335132702</v>
      </c>
      <c r="E20" s="272">
        <v>0.46221322537112014</v>
      </c>
      <c r="F20" s="272">
        <v>0.48686459739091326</v>
      </c>
      <c r="G20" s="272">
        <v>0.49919028340080979</v>
      </c>
      <c r="H20" s="272">
        <v>0.51151596941070632</v>
      </c>
      <c r="I20" s="272">
        <v>0.51459739091318035</v>
      </c>
      <c r="J20" s="272">
        <v>0.52076023391812865</v>
      </c>
      <c r="K20" s="272">
        <v>0.52384165542060279</v>
      </c>
      <c r="L20" s="272">
        <v>0.53308591992802523</v>
      </c>
      <c r="M20" s="272">
        <v>0.55465587044534415</v>
      </c>
      <c r="N20" s="272">
        <v>0.57622582096266317</v>
      </c>
      <c r="O20" s="272"/>
      <c r="P20" s="272"/>
      <c r="Q20" s="272" t="s">
        <v>282</v>
      </c>
      <c r="R20" s="272" t="s">
        <v>93</v>
      </c>
      <c r="S20" s="272">
        <v>0.17872244714349977</v>
      </c>
      <c r="T20" s="272">
        <v>0.18488529014844804</v>
      </c>
      <c r="U20" s="272">
        <v>0.19412955465587045</v>
      </c>
      <c r="V20" s="272">
        <v>0.20337381916329286</v>
      </c>
      <c r="W20" s="272">
        <v>0.20953666216824116</v>
      </c>
      <c r="X20" s="272">
        <v>0.21261808367071525</v>
      </c>
      <c r="Y20" s="272">
        <v>0.21569950517318939</v>
      </c>
      <c r="Z20" s="272">
        <v>0.21878092667566351</v>
      </c>
      <c r="AA20" s="272">
        <v>0.21878092667566351</v>
      </c>
      <c r="AB20" s="272">
        <v>0.2249437696806118</v>
      </c>
      <c r="AC20" s="272">
        <v>0.23418803418803422</v>
      </c>
      <c r="AD20" s="272">
        <v>0.24035087719298248</v>
      </c>
    </row>
    <row r="21" spans="1:30">
      <c r="A21" s="352" t="s">
        <v>332</v>
      </c>
      <c r="B21" s="272" t="s">
        <v>93</v>
      </c>
      <c r="C21" s="271">
        <v>0.95476383265856957</v>
      </c>
      <c r="D21" s="271">
        <v>0.98243814664867302</v>
      </c>
      <c r="E21" s="271">
        <v>1.03778677462888</v>
      </c>
      <c r="F21" s="271">
        <v>1.0931354026090869</v>
      </c>
      <c r="G21" s="271">
        <v>1.1208097165991906</v>
      </c>
      <c r="H21" s="271">
        <v>1.1484840305892938</v>
      </c>
      <c r="I21" s="271">
        <v>1.1554026090868197</v>
      </c>
      <c r="J21" s="271">
        <v>1.1692397660818714</v>
      </c>
      <c r="K21" s="271">
        <v>1.1761583445793973</v>
      </c>
      <c r="L21" s="271">
        <v>1.1969140800719749</v>
      </c>
      <c r="M21" s="271">
        <v>1.2453441295546561</v>
      </c>
      <c r="N21" s="271">
        <v>1.2937741790373372</v>
      </c>
      <c r="O21" s="272"/>
      <c r="P21" s="272"/>
      <c r="Q21" s="352" t="s">
        <v>332</v>
      </c>
      <c r="R21" s="272" t="s">
        <v>93</v>
      </c>
      <c r="S21" s="272">
        <v>0.40127755285650024</v>
      </c>
      <c r="T21" s="272">
        <v>0.41511470985155202</v>
      </c>
      <c r="U21" s="272">
        <v>0.43587044534412961</v>
      </c>
      <c r="V21" s="272">
        <v>0.45662618083670725</v>
      </c>
      <c r="W21" s="272">
        <v>0.47046333783175898</v>
      </c>
      <c r="X21" s="272">
        <v>0.47738191632928478</v>
      </c>
      <c r="Y21" s="272">
        <v>0.48430049482681065</v>
      </c>
      <c r="Z21" s="272">
        <v>0.49121907332433651</v>
      </c>
      <c r="AA21" s="272">
        <v>0.49121907332433651</v>
      </c>
      <c r="AB21" s="272">
        <v>0.50505623031938829</v>
      </c>
      <c r="AC21" s="272">
        <v>0.52581196581196588</v>
      </c>
      <c r="AD21" s="272">
        <v>0.5396491228070176</v>
      </c>
    </row>
    <row r="22" spans="1:30">
      <c r="A22" s="270" t="s">
        <v>223</v>
      </c>
      <c r="B22" s="270" t="s">
        <v>93</v>
      </c>
      <c r="C22" s="271">
        <v>0.28999999999999998</v>
      </c>
      <c r="D22" s="271">
        <v>0.3</v>
      </c>
      <c r="E22" s="271">
        <v>0.3</v>
      </c>
      <c r="F22" s="271">
        <v>0.31</v>
      </c>
      <c r="G22" s="271">
        <v>0.31</v>
      </c>
      <c r="H22" s="271">
        <v>0.31</v>
      </c>
      <c r="I22" s="271">
        <v>0.31</v>
      </c>
      <c r="J22" s="271">
        <v>0.31</v>
      </c>
      <c r="K22" s="271">
        <v>0.31</v>
      </c>
      <c r="L22" s="271">
        <v>0.32</v>
      </c>
      <c r="M22" s="271">
        <v>0.33</v>
      </c>
      <c r="N22" s="271">
        <v>0.35</v>
      </c>
      <c r="O22" s="272"/>
      <c r="P22" s="272"/>
      <c r="Q22" s="271" t="s">
        <v>223</v>
      </c>
      <c r="R22" s="271" t="s">
        <v>93</v>
      </c>
      <c r="S22" s="271">
        <v>0.11</v>
      </c>
      <c r="T22" s="271">
        <v>0.12</v>
      </c>
      <c r="U22" s="271">
        <v>0.11</v>
      </c>
      <c r="V22" s="271">
        <v>0.12</v>
      </c>
      <c r="W22" s="271">
        <v>0.12</v>
      </c>
      <c r="X22" s="271">
        <v>0.12</v>
      </c>
      <c r="Y22" s="271">
        <v>0.12</v>
      </c>
      <c r="Z22" s="271">
        <v>0.12</v>
      </c>
      <c r="AA22" s="271">
        <v>0.12</v>
      </c>
      <c r="AB22" s="271">
        <v>0.12</v>
      </c>
      <c r="AC22" s="271">
        <v>0.13</v>
      </c>
      <c r="AD22" s="271">
        <v>0.13</v>
      </c>
    </row>
    <row r="23" spans="1:30">
      <c r="A23" s="267" t="s">
        <v>222</v>
      </c>
      <c r="B23" s="267" t="s">
        <v>93</v>
      </c>
      <c r="C23" s="272">
        <v>0.18</v>
      </c>
      <c r="D23" s="272">
        <v>0.19</v>
      </c>
      <c r="E23" s="272">
        <v>0.21</v>
      </c>
      <c r="F23" s="272">
        <v>0.32</v>
      </c>
      <c r="G23" s="272">
        <v>0.38</v>
      </c>
      <c r="H23" s="272">
        <v>0.42</v>
      </c>
      <c r="I23" s="272">
        <v>0.46</v>
      </c>
      <c r="J23" s="272">
        <v>0.5</v>
      </c>
      <c r="K23" s="272">
        <v>0.55000000000000004</v>
      </c>
      <c r="L23" s="272">
        <v>0.61</v>
      </c>
      <c r="M23" s="272">
        <v>0.69</v>
      </c>
      <c r="N23" s="272">
        <v>0.77</v>
      </c>
      <c r="O23" s="272"/>
      <c r="P23" s="272"/>
      <c r="Q23" s="272" t="s">
        <v>222</v>
      </c>
      <c r="R23" s="272" t="s">
        <v>93</v>
      </c>
      <c r="S23" s="272">
        <v>0.09</v>
      </c>
      <c r="T23" s="272">
        <v>0.09</v>
      </c>
      <c r="U23" s="272">
        <v>0.1</v>
      </c>
      <c r="V23" s="272">
        <v>0.15</v>
      </c>
      <c r="W23" s="272">
        <v>0.18</v>
      </c>
      <c r="X23" s="272">
        <v>0.2</v>
      </c>
      <c r="Y23" s="272">
        <v>0.22</v>
      </c>
      <c r="Z23" s="272">
        <v>0.24</v>
      </c>
      <c r="AA23" s="272">
        <v>0.26</v>
      </c>
      <c r="AB23" s="272">
        <v>0.28999999999999998</v>
      </c>
      <c r="AC23" s="272">
        <v>0.33</v>
      </c>
      <c r="AD23" s="272">
        <v>0.37</v>
      </c>
    </row>
    <row r="24" spans="1:30">
      <c r="A24" s="270" t="s">
        <v>283</v>
      </c>
      <c r="B24" s="270" t="s">
        <v>40</v>
      </c>
      <c r="C24" s="271">
        <v>2</v>
      </c>
      <c r="D24" s="271">
        <v>1.4</v>
      </c>
      <c r="E24" s="271">
        <v>1.22</v>
      </c>
      <c r="F24" s="271">
        <v>1.21</v>
      </c>
      <c r="G24" s="271">
        <v>1.24</v>
      </c>
      <c r="H24" s="271">
        <v>1.29</v>
      </c>
      <c r="I24" s="271">
        <v>1.36</v>
      </c>
      <c r="J24" s="271">
        <v>1.45</v>
      </c>
      <c r="K24" s="271">
        <v>1.54</v>
      </c>
      <c r="L24" s="271">
        <v>1.64</v>
      </c>
      <c r="M24" s="271">
        <v>1.73</v>
      </c>
      <c r="N24" s="271">
        <v>1.83</v>
      </c>
      <c r="O24" s="272"/>
      <c r="P24" s="272"/>
      <c r="Q24" s="271" t="s">
        <v>283</v>
      </c>
      <c r="R24" s="271" t="s">
        <v>40</v>
      </c>
      <c r="S24" s="271">
        <v>3.86</v>
      </c>
      <c r="T24" s="271">
        <v>2.71</v>
      </c>
      <c r="U24" s="271">
        <v>2.4</v>
      </c>
      <c r="V24" s="271">
        <v>2.5</v>
      </c>
      <c r="W24" s="271">
        <v>2.58</v>
      </c>
      <c r="X24" s="271">
        <v>2.66</v>
      </c>
      <c r="Y24" s="271">
        <v>2.77</v>
      </c>
      <c r="Z24" s="271">
        <v>2.91</v>
      </c>
      <c r="AA24" s="271">
        <v>3.02</v>
      </c>
      <c r="AB24" s="271">
        <v>3.1</v>
      </c>
      <c r="AC24" s="271">
        <v>3.19</v>
      </c>
      <c r="AD24" s="271">
        <v>3.28</v>
      </c>
    </row>
    <row r="25" spans="1:30">
      <c r="A25" s="267" t="s">
        <v>284</v>
      </c>
      <c r="B25" s="267" t="s">
        <v>40</v>
      </c>
      <c r="C25" s="272">
        <v>9.6999999999999993</v>
      </c>
      <c r="D25" s="272">
        <v>8.8000000000000007</v>
      </c>
      <c r="E25" s="272">
        <v>9.18</v>
      </c>
      <c r="F25" s="272">
        <v>8.8699999999999992</v>
      </c>
      <c r="G25" s="272">
        <v>8.43</v>
      </c>
      <c r="H25" s="272">
        <v>8.07</v>
      </c>
      <c r="I25" s="272">
        <v>8.32</v>
      </c>
      <c r="J25" s="272">
        <v>8.7100000000000009</v>
      </c>
      <c r="K25" s="272">
        <v>9.66</v>
      </c>
      <c r="L25" s="272">
        <v>10.72</v>
      </c>
      <c r="M25" s="272">
        <v>11.89</v>
      </c>
      <c r="N25" s="272">
        <v>13.18</v>
      </c>
      <c r="O25" s="272"/>
      <c r="P25" s="272"/>
      <c r="Q25" s="272" t="s">
        <v>284</v>
      </c>
      <c r="R25" s="272" t="s">
        <v>40</v>
      </c>
      <c r="S25" s="272">
        <v>2.71</v>
      </c>
      <c r="T25" s="272">
        <v>2.46</v>
      </c>
      <c r="U25" s="272">
        <v>2.56</v>
      </c>
      <c r="V25" s="272">
        <v>2.48</v>
      </c>
      <c r="W25" s="272">
        <v>2.35</v>
      </c>
      <c r="X25" s="272">
        <v>2.25</v>
      </c>
      <c r="Y25" s="272">
        <v>2.3199999999999998</v>
      </c>
      <c r="Z25" s="272">
        <v>2.4300000000000002</v>
      </c>
      <c r="AA25" s="272">
        <v>2.7</v>
      </c>
      <c r="AB25" s="272">
        <v>2.99</v>
      </c>
      <c r="AC25" s="272">
        <v>3.32</v>
      </c>
      <c r="AD25" s="272">
        <v>3.68</v>
      </c>
    </row>
    <row r="26" spans="1:30">
      <c r="A26" s="270" t="s">
        <v>285</v>
      </c>
      <c r="B26" s="270" t="s">
        <v>40</v>
      </c>
      <c r="C26" s="271">
        <v>8.19</v>
      </c>
      <c r="D26" s="271">
        <v>8.9600000000000009</v>
      </c>
      <c r="E26" s="271">
        <v>10.71</v>
      </c>
      <c r="F26" s="271">
        <v>11.2</v>
      </c>
      <c r="G26" s="271">
        <v>12.16</v>
      </c>
      <c r="H26" s="271">
        <v>13.49</v>
      </c>
      <c r="I26" s="271">
        <v>14.03</v>
      </c>
      <c r="J26" s="271">
        <v>14.48</v>
      </c>
      <c r="K26" s="271">
        <v>14.92</v>
      </c>
      <c r="L26" s="271">
        <v>15.07</v>
      </c>
      <c r="M26" s="271">
        <v>15.1</v>
      </c>
      <c r="N26" s="271">
        <v>15.12</v>
      </c>
      <c r="O26" s="272"/>
      <c r="P26" s="272"/>
      <c r="Q26" s="271" t="s">
        <v>285</v>
      </c>
      <c r="R26" s="271" t="s">
        <v>40</v>
      </c>
      <c r="S26" s="271">
        <v>4.22</v>
      </c>
      <c r="T26" s="271">
        <v>4.62</v>
      </c>
      <c r="U26" s="271">
        <v>5.52</v>
      </c>
      <c r="V26" s="271">
        <v>5.77</v>
      </c>
      <c r="W26" s="271">
        <v>6.27</v>
      </c>
      <c r="X26" s="271">
        <v>6.95</v>
      </c>
      <c r="Y26" s="271">
        <v>7.23</v>
      </c>
      <c r="Z26" s="271">
        <v>7.46</v>
      </c>
      <c r="AA26" s="271">
        <v>7.69</v>
      </c>
      <c r="AB26" s="271">
        <v>7.76</v>
      </c>
      <c r="AC26" s="271">
        <v>7.78</v>
      </c>
      <c r="AD26" s="271">
        <v>7.79</v>
      </c>
    </row>
    <row r="27" spans="1:30">
      <c r="A27" s="267" t="s">
        <v>286</v>
      </c>
      <c r="B27" s="267" t="s">
        <v>40</v>
      </c>
      <c r="C27" s="272">
        <v>32.29</v>
      </c>
      <c r="D27" s="272">
        <v>38.85</v>
      </c>
      <c r="E27" s="272">
        <v>45.72</v>
      </c>
      <c r="F27" s="272">
        <v>47.69</v>
      </c>
      <c r="G27" s="272">
        <v>51.59</v>
      </c>
      <c r="H27" s="272">
        <v>57.53</v>
      </c>
      <c r="I27" s="272">
        <v>60.13</v>
      </c>
      <c r="J27" s="272">
        <v>61.68</v>
      </c>
      <c r="K27" s="272">
        <v>63.98</v>
      </c>
      <c r="L27" s="272">
        <v>65.08</v>
      </c>
      <c r="M27" s="272">
        <v>65.650000000000006</v>
      </c>
      <c r="N27" s="272">
        <v>66.23</v>
      </c>
      <c r="O27" s="272"/>
      <c r="P27" s="272"/>
      <c r="Q27" s="272" t="s">
        <v>286</v>
      </c>
      <c r="R27" s="272" t="s">
        <v>40</v>
      </c>
      <c r="S27" s="272">
        <v>8.07</v>
      </c>
      <c r="T27" s="272">
        <v>9.7100000000000009</v>
      </c>
      <c r="U27" s="272">
        <v>11.43</v>
      </c>
      <c r="V27" s="272">
        <v>11.92</v>
      </c>
      <c r="W27" s="272">
        <v>12.9</v>
      </c>
      <c r="X27" s="272">
        <v>14.38</v>
      </c>
      <c r="Y27" s="272">
        <v>15.03</v>
      </c>
      <c r="Z27" s="272">
        <v>15.42</v>
      </c>
      <c r="AA27" s="272">
        <v>15.99</v>
      </c>
      <c r="AB27" s="272">
        <v>16.27</v>
      </c>
      <c r="AC27" s="272">
        <v>16.41</v>
      </c>
      <c r="AD27" s="272">
        <v>16.559999999999999</v>
      </c>
    </row>
    <row r="28" spans="1:30">
      <c r="A28" s="270" t="s">
        <v>287</v>
      </c>
      <c r="B28" s="270" t="s">
        <v>40</v>
      </c>
      <c r="C28" s="271">
        <v>1.37</v>
      </c>
      <c r="D28" s="271">
        <v>1.27</v>
      </c>
      <c r="E28" s="271">
        <v>1.17</v>
      </c>
      <c r="F28" s="271">
        <v>1.24</v>
      </c>
      <c r="G28" s="271">
        <v>1.28</v>
      </c>
      <c r="H28" s="271">
        <v>1.32</v>
      </c>
      <c r="I28" s="271">
        <v>1.36</v>
      </c>
      <c r="J28" s="271">
        <v>1.4</v>
      </c>
      <c r="K28" s="271">
        <v>1.45</v>
      </c>
      <c r="L28" s="271">
        <v>1.52</v>
      </c>
      <c r="M28" s="271">
        <v>1.59</v>
      </c>
      <c r="N28" s="271">
        <v>1.66</v>
      </c>
      <c r="O28" s="272"/>
      <c r="P28" s="272"/>
      <c r="Q28" s="271" t="s">
        <v>287</v>
      </c>
      <c r="R28" s="271" t="s">
        <v>40</v>
      </c>
      <c r="S28" s="271">
        <v>0.48</v>
      </c>
      <c r="T28" s="271">
        <v>0.45</v>
      </c>
      <c r="U28" s="271">
        <v>0.41</v>
      </c>
      <c r="V28" s="271">
        <v>0.4</v>
      </c>
      <c r="W28" s="271">
        <v>0.41</v>
      </c>
      <c r="X28" s="271">
        <v>0.42</v>
      </c>
      <c r="Y28" s="271">
        <v>0.44</v>
      </c>
      <c r="Z28" s="271">
        <v>0.46</v>
      </c>
      <c r="AA28" s="271">
        <v>0.48</v>
      </c>
      <c r="AB28" s="271">
        <v>0.49</v>
      </c>
      <c r="AC28" s="271">
        <v>0.51</v>
      </c>
      <c r="AD28" s="271">
        <v>0.52</v>
      </c>
    </row>
    <row r="29" spans="1:30">
      <c r="A29" s="267" t="s">
        <v>288</v>
      </c>
      <c r="B29" s="267" t="s">
        <v>40</v>
      </c>
      <c r="C29" s="272">
        <v>0.6</v>
      </c>
      <c r="D29" s="272">
        <v>0.33</v>
      </c>
      <c r="E29" s="272">
        <v>0.35</v>
      </c>
      <c r="F29" s="272">
        <v>0.43</v>
      </c>
      <c r="G29" s="272">
        <v>0.82</v>
      </c>
      <c r="H29" s="272">
        <v>1.21</v>
      </c>
      <c r="I29" s="272">
        <v>1.39</v>
      </c>
      <c r="J29" s="272">
        <v>1.51</v>
      </c>
      <c r="K29" s="272">
        <v>1.62</v>
      </c>
      <c r="L29" s="272">
        <v>1.74</v>
      </c>
      <c r="M29" s="272">
        <v>1.92</v>
      </c>
      <c r="N29" s="272">
        <v>2.11</v>
      </c>
      <c r="O29" s="272"/>
      <c r="P29" s="272"/>
      <c r="Q29" s="272" t="s">
        <v>288</v>
      </c>
      <c r="R29" s="272" t="s">
        <v>40</v>
      </c>
      <c r="S29" s="272">
        <v>0</v>
      </c>
      <c r="T29" s="272">
        <v>0</v>
      </c>
      <c r="U29" s="272">
        <v>0</v>
      </c>
      <c r="V29" s="272">
        <v>0</v>
      </c>
      <c r="W29" s="272">
        <v>0</v>
      </c>
      <c r="X29" s="272">
        <v>0</v>
      </c>
      <c r="Y29" s="272">
        <v>0</v>
      </c>
      <c r="Z29" s="272">
        <v>0</v>
      </c>
      <c r="AA29" s="272">
        <v>0</v>
      </c>
      <c r="AB29" s="272">
        <v>0</v>
      </c>
      <c r="AC29" s="272">
        <v>0</v>
      </c>
      <c r="AD29" s="272">
        <v>0</v>
      </c>
    </row>
    <row r="38" spans="10:19">
      <c r="L38" s="267" t="s">
        <v>290</v>
      </c>
      <c r="M38" s="267" t="s">
        <v>291</v>
      </c>
    </row>
    <row r="39" spans="10:19">
      <c r="J39" s="267" t="s">
        <v>204</v>
      </c>
      <c r="K39" s="267" t="s">
        <v>205</v>
      </c>
      <c r="L39" s="267">
        <v>0.74133047237566796</v>
      </c>
    </row>
    <row r="40" spans="10:19" ht="15.75" thickBot="1">
      <c r="J40" s="267" t="s">
        <v>213</v>
      </c>
      <c r="K40" s="267" t="s">
        <v>214</v>
      </c>
      <c r="L40" s="267">
        <v>0.70579966949183226</v>
      </c>
    </row>
    <row r="41" spans="10:19" ht="15.75" thickBot="1">
      <c r="J41" s="267" t="s">
        <v>216</v>
      </c>
      <c r="K41" s="267" t="s">
        <v>217</v>
      </c>
      <c r="L41" s="267">
        <v>0.70448204835116923</v>
      </c>
      <c r="R41" s="93">
        <v>0.68500000000000005</v>
      </c>
      <c r="S41" s="267">
        <f>R41/SUM($R$41:$R$42)</f>
        <v>0.30814215024741343</v>
      </c>
    </row>
    <row r="42" spans="10:19">
      <c r="J42" s="267" t="s">
        <v>218</v>
      </c>
      <c r="K42" s="267" t="s">
        <v>219</v>
      </c>
      <c r="L42" s="267">
        <v>0.70448204835116923</v>
      </c>
      <c r="R42" s="353">
        <v>1.538</v>
      </c>
      <c r="S42" s="267">
        <f>R42/SUM($R$41:$R$42)</f>
        <v>0.69185784975258668</v>
      </c>
    </row>
    <row r="43" spans="10:19">
      <c r="K43" s="267" t="s">
        <v>223</v>
      </c>
      <c r="L43" s="267">
        <v>0.72394704223382245</v>
      </c>
    </row>
    <row r="44" spans="10:19">
      <c r="J44" s="267" t="s">
        <v>221</v>
      </c>
      <c r="K44" s="267" t="s">
        <v>222</v>
      </c>
      <c r="L44" s="267">
        <v>0.67564531292204155</v>
      </c>
    </row>
    <row r="45" spans="10:19">
      <c r="J45" s="267" t="s">
        <v>225</v>
      </c>
      <c r="K45" s="267" t="s">
        <v>292</v>
      </c>
      <c r="L45" s="267">
        <v>0.66</v>
      </c>
    </row>
    <row r="46" spans="10:19">
      <c r="J46" s="267" t="s">
        <v>227</v>
      </c>
      <c r="K46" s="267" t="s">
        <v>292</v>
      </c>
      <c r="L46" s="267">
        <v>0.8</v>
      </c>
    </row>
    <row r="52" spans="3:14">
      <c r="C52" s="272">
        <v>0.57999999999999996</v>
      </c>
      <c r="D52" s="272">
        <v>0.6</v>
      </c>
      <c r="E52" s="272">
        <v>0.63</v>
      </c>
      <c r="F52" s="272">
        <v>0.66</v>
      </c>
      <c r="G52" s="272">
        <v>0.68</v>
      </c>
      <c r="H52" s="272">
        <v>0.69</v>
      </c>
      <c r="I52" s="272">
        <v>0.7</v>
      </c>
      <c r="J52" s="272">
        <v>0.71</v>
      </c>
      <c r="K52" s="272">
        <v>0.71</v>
      </c>
      <c r="L52" s="272">
        <v>0.73</v>
      </c>
      <c r="M52" s="272">
        <v>0.76</v>
      </c>
      <c r="N52" s="272">
        <v>0.78</v>
      </c>
    </row>
    <row r="53" spans="3:14">
      <c r="C53" s="267">
        <f>C$52*$S41</f>
        <v>0.17872244714349977</v>
      </c>
      <c r="D53" s="267">
        <f t="shared" ref="D53:N53" si="0">D$52*$S41</f>
        <v>0.18488529014844804</v>
      </c>
      <c r="E53" s="267">
        <f t="shared" si="0"/>
        <v>0.19412955465587045</v>
      </c>
      <c r="F53" s="267">
        <f t="shared" si="0"/>
        <v>0.20337381916329286</v>
      </c>
      <c r="G53" s="267">
        <f t="shared" si="0"/>
        <v>0.20953666216824116</v>
      </c>
      <c r="H53" s="267">
        <f t="shared" si="0"/>
        <v>0.21261808367071525</v>
      </c>
      <c r="I53" s="267">
        <f t="shared" si="0"/>
        <v>0.21569950517318939</v>
      </c>
      <c r="J53" s="267">
        <f t="shared" si="0"/>
        <v>0.21878092667566351</v>
      </c>
      <c r="K53" s="267">
        <f t="shared" si="0"/>
        <v>0.21878092667566351</v>
      </c>
      <c r="L53" s="267">
        <f t="shared" si="0"/>
        <v>0.2249437696806118</v>
      </c>
      <c r="M53" s="267">
        <f t="shared" si="0"/>
        <v>0.23418803418803422</v>
      </c>
      <c r="N53" s="267">
        <f t="shared" si="0"/>
        <v>0.24035087719298248</v>
      </c>
    </row>
    <row r="54" spans="3:14">
      <c r="C54" s="267">
        <f>C$52*$S42</f>
        <v>0.40127755285650024</v>
      </c>
      <c r="D54" s="267">
        <f t="shared" ref="D54:N54" si="1">D$52*$S42</f>
        <v>0.41511470985155202</v>
      </c>
      <c r="E54" s="267">
        <f t="shared" si="1"/>
        <v>0.43587044534412961</v>
      </c>
      <c r="F54" s="267">
        <f t="shared" si="1"/>
        <v>0.45662618083670725</v>
      </c>
      <c r="G54" s="267">
        <f t="shared" si="1"/>
        <v>0.47046333783175898</v>
      </c>
      <c r="H54" s="267">
        <f t="shared" si="1"/>
        <v>0.47738191632928478</v>
      </c>
      <c r="I54" s="267">
        <f t="shared" si="1"/>
        <v>0.48430049482681065</v>
      </c>
      <c r="J54" s="267">
        <f t="shared" si="1"/>
        <v>0.49121907332433651</v>
      </c>
      <c r="K54" s="267">
        <f t="shared" si="1"/>
        <v>0.49121907332433651</v>
      </c>
      <c r="L54" s="267">
        <f t="shared" si="1"/>
        <v>0.50505623031938829</v>
      </c>
      <c r="M54" s="267">
        <f t="shared" si="1"/>
        <v>0.52581196581196588</v>
      </c>
      <c r="N54" s="267">
        <f t="shared" si="1"/>
        <v>0.5396491228070176</v>
      </c>
    </row>
    <row r="57" spans="3:14">
      <c r="C57" s="272">
        <v>1.38</v>
      </c>
      <c r="D57" s="272">
        <v>1.42</v>
      </c>
      <c r="E57" s="272">
        <v>1.5</v>
      </c>
      <c r="F57" s="272">
        <v>1.58</v>
      </c>
      <c r="G57" s="272">
        <v>1.62</v>
      </c>
      <c r="H57" s="272">
        <v>1.66</v>
      </c>
      <c r="I57" s="272">
        <v>1.67</v>
      </c>
      <c r="J57" s="272">
        <v>1.69</v>
      </c>
      <c r="K57" s="272">
        <v>1.7</v>
      </c>
      <c r="L57" s="272">
        <v>1.73</v>
      </c>
      <c r="M57" s="272">
        <v>1.8</v>
      </c>
      <c r="N57" s="272">
        <v>1.87</v>
      </c>
    </row>
    <row r="58" spans="3:14">
      <c r="C58" s="267">
        <f>C57*$S$42</f>
        <v>0.95476383265856957</v>
      </c>
      <c r="D58" s="267">
        <f t="shared" ref="D58:N58" si="2">D57*$S$42</f>
        <v>0.98243814664867302</v>
      </c>
      <c r="E58" s="267">
        <f t="shared" si="2"/>
        <v>1.03778677462888</v>
      </c>
      <c r="F58" s="267">
        <f t="shared" si="2"/>
        <v>1.0931354026090869</v>
      </c>
      <c r="G58" s="267">
        <f t="shared" si="2"/>
        <v>1.1208097165991906</v>
      </c>
      <c r="H58" s="267">
        <f t="shared" si="2"/>
        <v>1.1484840305892938</v>
      </c>
      <c r="I58" s="267">
        <f t="shared" si="2"/>
        <v>1.1554026090868197</v>
      </c>
      <c r="J58" s="267">
        <f t="shared" si="2"/>
        <v>1.1692397660818714</v>
      </c>
      <c r="K58" s="267">
        <f t="shared" si="2"/>
        <v>1.1761583445793973</v>
      </c>
      <c r="L58" s="267">
        <f t="shared" si="2"/>
        <v>1.1969140800719749</v>
      </c>
      <c r="M58" s="267">
        <f t="shared" si="2"/>
        <v>1.2453441295546561</v>
      </c>
      <c r="N58" s="267">
        <f t="shared" si="2"/>
        <v>1.2937741790373372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3"/>
  <sheetViews>
    <sheetView zoomScale="80" zoomScaleNormal="80" workbookViewId="0">
      <selection activeCell="D45" sqref="D45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4.42578125" style="2" customWidth="1"/>
    <col min="27" max="44" width="10.42578125" style="2" customWidth="1"/>
    <col min="45" max="16384" width="9.140625" style="2"/>
  </cols>
  <sheetData>
    <row r="1" spans="1:33" ht="36" customHeight="1">
      <c r="A1" s="36" t="s">
        <v>78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3" ht="15.75" customHeight="1">
      <c r="B5" s="31" t="s">
        <v>69</v>
      </c>
      <c r="C5" s="3"/>
      <c r="D5" s="4"/>
      <c r="E5" s="4"/>
      <c r="F5" s="4"/>
      <c r="G5" s="4"/>
      <c r="H5" s="4"/>
      <c r="I5" s="4"/>
      <c r="J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355</v>
      </c>
      <c r="F6" s="14" t="s">
        <v>356</v>
      </c>
      <c r="G6" s="14" t="s">
        <v>357</v>
      </c>
      <c r="H6" s="14" t="s">
        <v>3</v>
      </c>
      <c r="I6" s="14" t="s">
        <v>358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5" t="s">
        <v>355</v>
      </c>
      <c r="W6" s="5" t="s">
        <v>356</v>
      </c>
      <c r="X6" s="5" t="s">
        <v>369</v>
      </c>
      <c r="Y6" s="5" t="s">
        <v>370</v>
      </c>
      <c r="Z6" s="5" t="s">
        <v>371</v>
      </c>
      <c r="AA6" s="5" t="s">
        <v>2</v>
      </c>
      <c r="AB6" s="378" t="s">
        <v>372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362"/>
      <c r="F7" s="362"/>
      <c r="G7" s="362"/>
      <c r="H7" s="362"/>
      <c r="I7" s="362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369"/>
      <c r="W7" s="369"/>
      <c r="X7" s="369"/>
      <c r="Y7" s="369"/>
      <c r="Z7" s="369"/>
      <c r="AA7" s="369"/>
      <c r="AB7" s="379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50</v>
      </c>
      <c r="D8" s="32" t="s">
        <v>54</v>
      </c>
      <c r="E8" s="32" t="s">
        <v>359</v>
      </c>
      <c r="F8" s="32"/>
      <c r="G8" s="32" t="s">
        <v>381</v>
      </c>
      <c r="H8" s="32" t="str">
        <f xml:space="preserve"> _xlfn.CONCAT( E8, " -:- ", F8, " -:- ", G8 )</f>
        <v>Transport -:-  -:- Natural Gas</v>
      </c>
      <c r="I8" s="33" t="s">
        <v>58</v>
      </c>
      <c r="J8" s="18" t="s">
        <v>40</v>
      </c>
      <c r="K8" s="18" t="s">
        <v>166</v>
      </c>
      <c r="L8" s="18" t="s">
        <v>51</v>
      </c>
      <c r="M8" s="19"/>
      <c r="N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50</v>
      </c>
      <c r="D9" s="32" t="s">
        <v>55</v>
      </c>
      <c r="E9" s="32" t="s">
        <v>359</v>
      </c>
      <c r="F9" s="32"/>
      <c r="G9" s="32" t="s">
        <v>382</v>
      </c>
      <c r="H9" s="32" t="str">
        <f t="shared" ref="H9:H17" si="0" xml:space="preserve"> _xlfn.CONCAT( E9, " -:- ", F9, " -:- ", G9 )</f>
        <v>Transport -:-  -:- Bio Liquids</v>
      </c>
      <c r="I9" s="33" t="s">
        <v>59</v>
      </c>
      <c r="J9" s="18" t="s">
        <v>40</v>
      </c>
      <c r="K9" s="18" t="s">
        <v>166</v>
      </c>
      <c r="L9" s="18" t="s">
        <v>51</v>
      </c>
      <c r="M9" s="19"/>
      <c r="N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359</v>
      </c>
      <c r="W9" s="32"/>
      <c r="X9" s="32"/>
      <c r="Y9" s="32"/>
      <c r="Z9" s="32" t="s">
        <v>381</v>
      </c>
      <c r="AA9" s="24" t="str">
        <f xml:space="preserve"> _xlfn.CONCAT( V9, " -:- ", W9, " -:- ", X9, " -:- ", Y9, " -:- ", Z9 )</f>
        <v>Transport -:-  -:-  -:-  -:- Natural Gas</v>
      </c>
      <c r="AB9" s="21" t="str">
        <f t="shared" ref="AB9:AB17" si="2">"Distribution of "&amp;I8</f>
        <v>Distribution of Transport Natural Gas</v>
      </c>
      <c r="AC9" s="18" t="s">
        <v>40</v>
      </c>
      <c r="AD9" s="18" t="s">
        <v>57</v>
      </c>
      <c r="AE9" s="18"/>
      <c r="AF9" s="18"/>
      <c r="AG9" s="18"/>
    </row>
    <row r="10" spans="1:33" ht="15.75" customHeight="1">
      <c r="B10" s="18" t="s">
        <v>39</v>
      </c>
      <c r="C10" s="18" t="s">
        <v>50</v>
      </c>
      <c r="D10" s="32" t="s">
        <v>63</v>
      </c>
      <c r="E10" s="32" t="s">
        <v>359</v>
      </c>
      <c r="F10" s="32"/>
      <c r="G10" s="32" t="s">
        <v>134</v>
      </c>
      <c r="H10" s="32" t="str">
        <f t="shared" si="0"/>
        <v>Transport -:-  -:- LPG</v>
      </c>
      <c r="I10" s="33" t="s">
        <v>60</v>
      </c>
      <c r="J10" s="18" t="s">
        <v>40</v>
      </c>
      <c r="K10" s="18" t="s">
        <v>166</v>
      </c>
      <c r="L10" s="18" t="s">
        <v>51</v>
      </c>
      <c r="M10" s="19"/>
      <c r="N10" s="19"/>
      <c r="S10" s="18"/>
      <c r="T10" s="18" t="s">
        <v>50</v>
      </c>
      <c r="U10" s="24" t="str">
        <f t="shared" si="1"/>
        <v>FTE_TRABIL</v>
      </c>
      <c r="V10" s="32" t="s">
        <v>359</v>
      </c>
      <c r="W10" s="32"/>
      <c r="X10" s="32"/>
      <c r="Y10" s="32"/>
      <c r="Z10" s="32" t="s">
        <v>382</v>
      </c>
      <c r="AA10" s="24" t="str">
        <f t="shared" ref="AA10:AA17" si="3" xml:space="preserve"> _xlfn.CONCAT( V10, " -:- ", W10, " -:- ", X10, " -:- ", Y10, " -:- ", Z10 )</f>
        <v>Transport -:-  -:-  -:-  -:- Bio Liquids</v>
      </c>
      <c r="AB10" s="21" t="str">
        <f t="shared" si="2"/>
        <v>Distribution of Transport Bio Liquids</v>
      </c>
      <c r="AC10" s="18" t="s">
        <v>40</v>
      </c>
      <c r="AD10" s="18" t="s">
        <v>57</v>
      </c>
      <c r="AE10" s="18"/>
      <c r="AF10" s="18"/>
      <c r="AG10" s="18"/>
    </row>
    <row r="11" spans="1:33" ht="15.75" customHeight="1">
      <c r="B11" s="18" t="s">
        <v>39</v>
      </c>
      <c r="C11" s="18" t="s">
        <v>50</v>
      </c>
      <c r="D11" s="32" t="s">
        <v>64</v>
      </c>
      <c r="E11" s="32" t="s">
        <v>359</v>
      </c>
      <c r="F11" s="32"/>
      <c r="G11" s="32" t="s">
        <v>157</v>
      </c>
      <c r="H11" s="32" t="str">
        <f t="shared" si="0"/>
        <v>Transport -:-  -:- Petrol</v>
      </c>
      <c r="I11" s="33" t="s">
        <v>61</v>
      </c>
      <c r="J11" s="18" t="s">
        <v>40</v>
      </c>
      <c r="K11" s="18" t="s">
        <v>166</v>
      </c>
      <c r="L11" s="18" t="s">
        <v>51</v>
      </c>
      <c r="M11" s="19"/>
      <c r="N11" s="19"/>
      <c r="S11" s="18"/>
      <c r="T11" s="18" t="s">
        <v>50</v>
      </c>
      <c r="U11" s="24" t="str">
        <f t="shared" si="1"/>
        <v>FTE_TRALPG</v>
      </c>
      <c r="V11" s="32" t="s">
        <v>359</v>
      </c>
      <c r="W11" s="32"/>
      <c r="X11" s="32"/>
      <c r="Y11" s="32"/>
      <c r="Z11" s="32" t="s">
        <v>134</v>
      </c>
      <c r="AA11" s="24" t="str">
        <f t="shared" si="3"/>
        <v>Transport -:-  -:-  -:-  -:- LPG</v>
      </c>
      <c r="AB11" s="21" t="str">
        <f t="shared" si="2"/>
        <v>Distribution of Transport LPG</v>
      </c>
      <c r="AC11" s="18" t="s">
        <v>40</v>
      </c>
      <c r="AD11" s="18" t="s">
        <v>57</v>
      </c>
      <c r="AE11" s="18"/>
      <c r="AF11" s="18"/>
      <c r="AG11" s="18"/>
    </row>
    <row r="12" spans="1:33" ht="15.75" customHeight="1">
      <c r="B12" s="18" t="s">
        <v>39</v>
      </c>
      <c r="C12" s="18" t="s">
        <v>50</v>
      </c>
      <c r="D12" s="32" t="s">
        <v>65</v>
      </c>
      <c r="E12" s="32" t="s">
        <v>359</v>
      </c>
      <c r="F12" s="32"/>
      <c r="G12" s="32" t="s">
        <v>158</v>
      </c>
      <c r="H12" s="32" t="str">
        <f t="shared" si="0"/>
        <v>Transport -:-  -:- Diesel</v>
      </c>
      <c r="I12" s="33" t="s">
        <v>62</v>
      </c>
      <c r="J12" s="18" t="s">
        <v>40</v>
      </c>
      <c r="K12" s="18" t="s">
        <v>166</v>
      </c>
      <c r="L12" s="18" t="s">
        <v>51</v>
      </c>
      <c r="M12" s="19"/>
      <c r="N12" s="19"/>
      <c r="S12" s="18"/>
      <c r="T12" s="18" t="s">
        <v>50</v>
      </c>
      <c r="U12" s="24" t="str">
        <f t="shared" si="1"/>
        <v>FTE_TRAPET</v>
      </c>
      <c r="V12" s="32" t="s">
        <v>359</v>
      </c>
      <c r="W12" s="32"/>
      <c r="X12" s="32"/>
      <c r="Y12" s="32"/>
      <c r="Z12" s="32" t="s">
        <v>157</v>
      </c>
      <c r="AA12" s="24" t="str">
        <f t="shared" si="3"/>
        <v>Transport -:-  -:-  -:-  -:- Petrol</v>
      </c>
      <c r="AB12" s="21" t="str">
        <f t="shared" si="2"/>
        <v>Distribution of Transport Petrol</v>
      </c>
      <c r="AC12" s="18" t="s">
        <v>40</v>
      </c>
      <c r="AD12" s="18" t="s">
        <v>57</v>
      </c>
      <c r="AE12" s="18"/>
      <c r="AF12" s="18"/>
      <c r="AG12" s="18"/>
    </row>
    <row r="13" spans="1:33" ht="15.75" customHeight="1">
      <c r="B13" s="18" t="s">
        <v>39</v>
      </c>
      <c r="C13" s="18" t="s">
        <v>50</v>
      </c>
      <c r="D13" s="32" t="s">
        <v>72</v>
      </c>
      <c r="E13" s="32" t="s">
        <v>359</v>
      </c>
      <c r="F13" s="32"/>
      <c r="G13" s="32" t="s">
        <v>379</v>
      </c>
      <c r="H13" s="32" t="str">
        <f t="shared" si="0"/>
        <v>Transport -:-  -:- Jet Fuel</v>
      </c>
      <c r="I13" s="33" t="s">
        <v>76</v>
      </c>
      <c r="J13" s="18" t="s">
        <v>40</v>
      </c>
      <c r="K13" s="18" t="s">
        <v>166</v>
      </c>
      <c r="L13" s="18" t="s">
        <v>51</v>
      </c>
      <c r="M13" s="19"/>
      <c r="N13" s="19"/>
      <c r="S13" s="18"/>
      <c r="T13" s="18" t="s">
        <v>50</v>
      </c>
      <c r="U13" s="24" t="str">
        <f t="shared" si="1"/>
        <v>FTE_TRADSL</v>
      </c>
      <c r="V13" s="32" t="s">
        <v>359</v>
      </c>
      <c r="W13" s="32"/>
      <c r="X13" s="32"/>
      <c r="Y13" s="32"/>
      <c r="Z13" s="32" t="s">
        <v>158</v>
      </c>
      <c r="AA13" s="24" t="str">
        <f t="shared" si="3"/>
        <v>Transport -:-  -:-  -:-  -:- Diesel</v>
      </c>
      <c r="AB13" s="21" t="str">
        <f t="shared" si="2"/>
        <v>Distribution of Transport Diesel</v>
      </c>
      <c r="AC13" s="18" t="s">
        <v>40</v>
      </c>
      <c r="AD13" s="18" t="s">
        <v>57</v>
      </c>
      <c r="AE13" s="18"/>
      <c r="AF13" s="18"/>
      <c r="AG13" s="18"/>
    </row>
    <row r="14" spans="1:33" ht="15.75" customHeight="1">
      <c r="B14" s="18" t="s">
        <v>39</v>
      </c>
      <c r="C14" s="18" t="s">
        <v>50</v>
      </c>
      <c r="D14" s="32" t="s">
        <v>80</v>
      </c>
      <c r="E14" s="32" t="s">
        <v>359</v>
      </c>
      <c r="F14" s="32"/>
      <c r="G14" s="32" t="s">
        <v>368</v>
      </c>
      <c r="H14" s="32" t="str">
        <f t="shared" si="0"/>
        <v>Transport -:-  -:- Green Hydrogen</v>
      </c>
      <c r="I14" s="33" t="s">
        <v>77</v>
      </c>
      <c r="J14" s="18" t="s">
        <v>40</v>
      </c>
      <c r="K14" s="18" t="s">
        <v>166</v>
      </c>
      <c r="L14" s="18" t="s">
        <v>169</v>
      </c>
      <c r="M14" s="19"/>
      <c r="N14" s="19"/>
      <c r="S14" s="25"/>
      <c r="T14" s="18" t="s">
        <v>50</v>
      </c>
      <c r="U14" s="24" t="str">
        <f t="shared" si="1"/>
        <v>FTE_TRAJET</v>
      </c>
      <c r="V14" s="32" t="s">
        <v>359</v>
      </c>
      <c r="W14" s="32"/>
      <c r="X14" s="32"/>
      <c r="Y14" s="32"/>
      <c r="Z14" s="32" t="s">
        <v>379</v>
      </c>
      <c r="AA14" s="24" t="str">
        <f t="shared" si="3"/>
        <v>Transport -:-  -:-  -:-  -:- Jet Fuel</v>
      </c>
      <c r="AB14" s="45" t="str">
        <f t="shared" si="2"/>
        <v>Distribution of Transport Aviation fuel_Kero</v>
      </c>
      <c r="AC14" s="18" t="s">
        <v>40</v>
      </c>
      <c r="AD14" s="18" t="s">
        <v>57</v>
      </c>
      <c r="AE14" s="18"/>
      <c r="AF14" s="25"/>
      <c r="AG14" s="25"/>
    </row>
    <row r="15" spans="1:33" ht="15.75" customHeight="1">
      <c r="B15" s="18" t="s">
        <v>39</v>
      </c>
      <c r="C15" s="18" t="s">
        <v>50</v>
      </c>
      <c r="D15" s="32" t="s">
        <v>56</v>
      </c>
      <c r="E15" s="32" t="s">
        <v>359</v>
      </c>
      <c r="F15" s="32"/>
      <c r="G15" s="32" t="s">
        <v>156</v>
      </c>
      <c r="H15" s="32" t="str">
        <f t="shared" si="0"/>
        <v>Transport -:-  -:- Electricity</v>
      </c>
      <c r="I15" s="33" t="s">
        <v>73</v>
      </c>
      <c r="J15" s="18" t="s">
        <v>40</v>
      </c>
      <c r="K15" s="18" t="s">
        <v>166</v>
      </c>
      <c r="L15" s="18" t="s">
        <v>169</v>
      </c>
      <c r="M15" s="19"/>
      <c r="N15" s="19" t="s">
        <v>85</v>
      </c>
      <c r="S15" s="25" t="s">
        <v>318</v>
      </c>
      <c r="T15" s="18" t="s">
        <v>50</v>
      </c>
      <c r="U15" s="24" t="str">
        <f t="shared" si="1"/>
        <v>FTE_TRAH2R</v>
      </c>
      <c r="V15" s="32" t="s">
        <v>359</v>
      </c>
      <c r="W15" s="32"/>
      <c r="X15" s="32"/>
      <c r="Y15" s="32"/>
      <c r="Z15" s="32" t="s">
        <v>368</v>
      </c>
      <c r="AA15" s="24" t="str">
        <f t="shared" si="3"/>
        <v>Transport -:-  -:-  -:-  -:- Green Hydrogen</v>
      </c>
      <c r="AB15" s="21" t="str">
        <f t="shared" si="2"/>
        <v>Distribution of Transport jet Hydrogen</v>
      </c>
      <c r="AC15" s="18" t="s">
        <v>40</v>
      </c>
      <c r="AD15" s="18" t="s">
        <v>74</v>
      </c>
      <c r="AE15" s="18" t="s">
        <v>169</v>
      </c>
      <c r="AF15" s="25"/>
      <c r="AG15" s="25"/>
    </row>
    <row r="16" spans="1:33" ht="15.75" customHeight="1">
      <c r="B16" s="18" t="s">
        <v>39</v>
      </c>
      <c r="C16" s="18" t="s">
        <v>50</v>
      </c>
      <c r="D16" s="32" t="s">
        <v>109</v>
      </c>
      <c r="E16" s="32" t="s">
        <v>359</v>
      </c>
      <c r="F16" s="32"/>
      <c r="G16" s="32" t="s">
        <v>159</v>
      </c>
      <c r="H16" s="32" t="str">
        <f t="shared" si="0"/>
        <v>Transport -:-  -:- Fuel Oil</v>
      </c>
      <c r="I16" s="33" t="s">
        <v>106</v>
      </c>
      <c r="J16" s="18" t="s">
        <v>40</v>
      </c>
      <c r="K16" s="18" t="s">
        <v>166</v>
      </c>
      <c r="L16" s="18" t="s">
        <v>51</v>
      </c>
      <c r="M16" s="19"/>
      <c r="N16" s="19"/>
      <c r="T16" s="18" t="s">
        <v>50</v>
      </c>
      <c r="U16" s="24" t="s">
        <v>177</v>
      </c>
      <c r="V16" s="32" t="s">
        <v>359</v>
      </c>
      <c r="W16" s="32"/>
      <c r="X16" s="32"/>
      <c r="Y16" s="32"/>
      <c r="Z16" s="32" t="s">
        <v>156</v>
      </c>
      <c r="AA16" s="24" t="str">
        <f t="shared" si="3"/>
        <v>Transport -:-  -:-  -:-  -:- Electricity</v>
      </c>
      <c r="AB16" s="21" t="str">
        <f t="shared" si="2"/>
        <v xml:space="preserve">Distribution of Transport electricity </v>
      </c>
      <c r="AC16" s="18" t="s">
        <v>40</v>
      </c>
      <c r="AD16" s="18" t="s">
        <v>74</v>
      </c>
      <c r="AE16" s="18" t="s">
        <v>169</v>
      </c>
    </row>
    <row r="17" spans="1:31" ht="15.75" customHeight="1">
      <c r="B17" s="4" t="s">
        <v>47</v>
      </c>
      <c r="C17" s="18" t="s">
        <v>50</v>
      </c>
      <c r="D17" s="18" t="s">
        <v>66</v>
      </c>
      <c r="E17" s="32" t="s">
        <v>359</v>
      </c>
      <c r="F17" s="32"/>
      <c r="G17" s="32" t="s">
        <v>383</v>
      </c>
      <c r="H17" s="32" t="str">
        <f t="shared" si="0"/>
        <v>Transport -:-  -:- CO2 emissions</v>
      </c>
      <c r="I17" s="32" t="s">
        <v>75</v>
      </c>
      <c r="J17" s="33" t="s">
        <v>52</v>
      </c>
      <c r="K17" s="18"/>
      <c r="L17" s="18" t="s">
        <v>51</v>
      </c>
      <c r="M17" s="19"/>
      <c r="N17" s="19"/>
      <c r="T17" s="18" t="s">
        <v>50</v>
      </c>
      <c r="U17" s="24" t="str">
        <f>$A$19&amp;D16</f>
        <v>FTE_TRAFOL</v>
      </c>
      <c r="V17" s="32" t="s">
        <v>359</v>
      </c>
      <c r="W17" s="32"/>
      <c r="X17" s="32"/>
      <c r="Y17" s="32"/>
      <c r="Z17" s="32" t="s">
        <v>159</v>
      </c>
      <c r="AA17" s="24" t="str">
        <f t="shared" si="3"/>
        <v>Transport -:-  -:-  -:-  -:- Fuel Oil</v>
      </c>
      <c r="AB17" s="21" t="str">
        <f t="shared" si="2"/>
        <v>Distribution of Transport LFO</v>
      </c>
      <c r="AC17" s="18" t="s">
        <v>40</v>
      </c>
      <c r="AD17" s="18" t="s">
        <v>57</v>
      </c>
      <c r="AE17" s="18"/>
    </row>
    <row r="18" spans="1:31" ht="15.75" customHeight="1">
      <c r="B18" s="4"/>
      <c r="C18" s="4"/>
      <c r="D18" s="4"/>
      <c r="E18" s="42"/>
      <c r="F18" s="43"/>
      <c r="G18" s="4"/>
      <c r="H18" s="4"/>
      <c r="I18" s="44"/>
      <c r="J18" s="44"/>
      <c r="Z18" s="42"/>
    </row>
    <row r="19" spans="1:31" ht="15.75" customHeight="1">
      <c r="A19" s="2" t="s">
        <v>105</v>
      </c>
    </row>
    <row r="20" spans="1:31" ht="15.75" customHeight="1">
      <c r="D20" s="31" t="s">
        <v>70</v>
      </c>
      <c r="E20" s="10"/>
      <c r="F20" s="10"/>
    </row>
    <row r="21" spans="1:31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307</v>
      </c>
      <c r="G21" s="11" t="s">
        <v>174</v>
      </c>
      <c r="H21" s="11" t="s">
        <v>310</v>
      </c>
      <c r="I21" s="12" t="s">
        <v>43</v>
      </c>
      <c r="J21" s="12" t="s">
        <v>41</v>
      </c>
      <c r="K21" s="12" t="s">
        <v>82</v>
      </c>
      <c r="L21" s="12" t="s">
        <v>84</v>
      </c>
      <c r="M21" s="296" t="s">
        <v>320</v>
      </c>
    </row>
    <row r="22" spans="1:31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311</v>
      </c>
      <c r="L22" s="2" t="s">
        <v>315</v>
      </c>
    </row>
    <row r="23" spans="1:31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313</v>
      </c>
      <c r="L23" s="2" t="s">
        <v>312</v>
      </c>
    </row>
    <row r="24" spans="1:31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1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1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1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1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1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1" ht="15.75" customHeight="1">
      <c r="B30" s="24"/>
      <c r="C30" s="23" t="s">
        <v>319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1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1" ht="15.75" customHeight="1">
      <c r="B32" s="24"/>
      <c r="C32" s="23" t="s">
        <v>321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318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288" t="s">
        <v>309</v>
      </c>
    </row>
    <row r="39" spans="2:13" ht="15.75" customHeight="1">
      <c r="B39" s="289" t="s">
        <v>1</v>
      </c>
      <c r="C39" s="289" t="s">
        <v>5</v>
      </c>
      <c r="D39" s="289" t="s">
        <v>6</v>
      </c>
      <c r="E39" s="289" t="s">
        <v>173</v>
      </c>
      <c r="F39" s="289" t="s">
        <v>307</v>
      </c>
      <c r="G39" s="289" t="s">
        <v>174</v>
      </c>
      <c r="H39" s="289" t="s">
        <v>165</v>
      </c>
      <c r="I39" s="290" t="s">
        <v>43</v>
      </c>
      <c r="J39" s="290" t="s">
        <v>41</v>
      </c>
      <c r="K39" s="290" t="s">
        <v>89</v>
      </c>
      <c r="L39" s="290" t="s">
        <v>314</v>
      </c>
      <c r="M39" s="297"/>
    </row>
    <row r="40" spans="2:13" ht="15.75" customHeight="1">
      <c r="B40" s="291" t="s">
        <v>308</v>
      </c>
      <c r="C40" s="292" t="s">
        <v>87</v>
      </c>
      <c r="D40" s="292" t="s">
        <v>80</v>
      </c>
      <c r="E40" s="292"/>
      <c r="F40" s="292"/>
      <c r="G40" s="292"/>
      <c r="H40" s="292"/>
      <c r="I40" s="22">
        <v>0.37</v>
      </c>
      <c r="J40" s="20">
        <v>20</v>
      </c>
      <c r="K40" s="35">
        <v>0</v>
      </c>
      <c r="L40" s="293">
        <v>100.40972222222221</v>
      </c>
      <c r="M40" s="293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abSelected="1" topLeftCell="A41" zoomScale="85" zoomScaleNormal="85" workbookViewId="0">
      <selection activeCell="H82" sqref="H8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16.42578125" style="2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69</v>
      </c>
      <c r="D5" s="3"/>
      <c r="E5" s="4"/>
      <c r="F5" s="4"/>
      <c r="G5" s="4"/>
      <c r="H5" s="4"/>
      <c r="I5" s="4"/>
      <c r="J5" s="4"/>
      <c r="K5" s="4"/>
      <c r="R5" s="31" t="s">
        <v>13</v>
      </c>
      <c r="S5" s="3"/>
      <c r="T5" s="4"/>
      <c r="U5" s="4"/>
      <c r="V5" s="4"/>
      <c r="W5" s="4"/>
      <c r="X5" s="4"/>
      <c r="Y5" s="4"/>
      <c r="Z5" s="4"/>
    </row>
    <row r="6" spans="2:32" ht="15.75" customHeight="1">
      <c r="C6" s="14" t="s">
        <v>7</v>
      </c>
      <c r="D6" s="15" t="s">
        <v>28</v>
      </c>
      <c r="E6" s="14" t="s">
        <v>0</v>
      </c>
      <c r="F6" s="361" t="s">
        <v>355</v>
      </c>
      <c r="G6" s="361" t="s">
        <v>356</v>
      </c>
      <c r="H6" s="361" t="s">
        <v>357</v>
      </c>
      <c r="I6" s="361" t="s">
        <v>3</v>
      </c>
      <c r="J6" s="361" t="s">
        <v>358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R6" s="5" t="s">
        <v>11</v>
      </c>
      <c r="S6" s="6" t="s">
        <v>28</v>
      </c>
      <c r="T6" s="5" t="s">
        <v>1</v>
      </c>
      <c r="U6" s="368" t="s">
        <v>355</v>
      </c>
      <c r="V6" s="368" t="s">
        <v>356</v>
      </c>
      <c r="W6" s="368" t="s">
        <v>369</v>
      </c>
      <c r="X6" s="368" t="s">
        <v>370</v>
      </c>
      <c r="Y6" s="368" t="s">
        <v>371</v>
      </c>
      <c r="Z6" s="368" t="s">
        <v>2</v>
      </c>
      <c r="AA6" s="368" t="s">
        <v>372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362"/>
      <c r="G7" s="362"/>
      <c r="H7" s="362"/>
      <c r="I7" s="362"/>
      <c r="J7" s="362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R7" s="7" t="s">
        <v>33</v>
      </c>
      <c r="S7" s="7" t="s">
        <v>29</v>
      </c>
      <c r="T7" s="7" t="s">
        <v>19</v>
      </c>
      <c r="U7" s="369"/>
      <c r="V7" s="369"/>
      <c r="W7" s="369"/>
      <c r="X7" s="369"/>
      <c r="Y7" s="369"/>
      <c r="Z7" s="369"/>
      <c r="AA7" s="369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 t="s">
        <v>359</v>
      </c>
      <c r="G8" s="32" t="s">
        <v>360</v>
      </c>
      <c r="H8" s="32" t="s">
        <v>205</v>
      </c>
      <c r="I8" s="363" t="str">
        <f xml:space="preserve"> _xlfn.CONCAT( F8, " -:- ", G8, " -:- ", H8 )</f>
        <v>Transport -:- Road Transport -:- Car/SUV</v>
      </c>
      <c r="J8" s="18" t="s">
        <v>231</v>
      </c>
      <c r="K8" s="18" t="s">
        <v>93</v>
      </c>
      <c r="L8" s="18"/>
      <c r="M8" s="18"/>
      <c r="N8" s="19"/>
      <c r="O8" s="19"/>
      <c r="R8" s="13" t="s">
        <v>42</v>
      </c>
      <c r="S8" s="13"/>
      <c r="T8" s="13"/>
      <c r="U8" s="370"/>
      <c r="V8" s="370"/>
      <c r="W8" s="370"/>
      <c r="X8" s="370"/>
      <c r="Y8" s="370"/>
      <c r="Z8" s="370"/>
      <c r="AA8" s="370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181</v>
      </c>
      <c r="F9" s="32" t="s">
        <v>359</v>
      </c>
      <c r="G9" s="32" t="s">
        <v>360</v>
      </c>
      <c r="H9" s="32" t="s">
        <v>362</v>
      </c>
      <c r="I9" s="363" t="str">
        <f t="shared" ref="I9:I21" si="0" xml:space="preserve"> _xlfn.CONCAT( F9, " -:- ", G9, " -:- ", H9 )</f>
        <v>Transport -:- Road Transport -:- Van/Ute</v>
      </c>
      <c r="J9" s="18" t="s">
        <v>182</v>
      </c>
      <c r="K9" s="18" t="s">
        <v>93</v>
      </c>
      <c r="L9" s="18"/>
      <c r="M9" s="18"/>
      <c r="N9" s="19"/>
      <c r="O9" s="19"/>
      <c r="R9" s="18" t="s">
        <v>68</v>
      </c>
      <c r="S9" s="18" t="s">
        <v>50</v>
      </c>
      <c r="T9" s="24" t="str">
        <f>+LEFT($E$8,5)&amp;LEFT(EECA_data_18!F5,4)&amp;LEFT(EECA_data_18!H5,3)&amp;"15"</f>
        <v>T_P_CICEPET15</v>
      </c>
      <c r="U9" s="24" t="s">
        <v>359</v>
      </c>
      <c r="V9" s="24" t="s">
        <v>360</v>
      </c>
      <c r="W9" s="24" t="s">
        <v>205</v>
      </c>
      <c r="X9" s="24" t="s">
        <v>373</v>
      </c>
      <c r="Y9" s="24" t="s">
        <v>157</v>
      </c>
      <c r="Z9" s="24" t="str">
        <f xml:space="preserve"> _xlfn.CONCAT( U9, " -:- ", V9, " -:- ", W9, " -:- ", X9, " -:- ", Y9 )</f>
        <v>Transport -:- Road Transport -:- Car/SUV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97</v>
      </c>
      <c r="AC9" s="18" t="s">
        <v>302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92</v>
      </c>
      <c r="F10" s="32" t="s">
        <v>359</v>
      </c>
      <c r="G10" s="32" t="s">
        <v>360</v>
      </c>
      <c r="H10" s="32" t="s">
        <v>170</v>
      </c>
      <c r="I10" s="363" t="str">
        <f t="shared" si="0"/>
        <v>Transport -:- Road Transport -:- Motorcycles</v>
      </c>
      <c r="J10" s="18" t="s">
        <v>183</v>
      </c>
      <c r="K10" s="18" t="s">
        <v>93</v>
      </c>
      <c r="L10" s="18"/>
      <c r="M10" s="18"/>
      <c r="N10" s="19"/>
      <c r="O10" s="19"/>
      <c r="R10" s="18" t="s">
        <v>68</v>
      </c>
      <c r="S10" s="18" t="s">
        <v>50</v>
      </c>
      <c r="T10" s="24" t="str">
        <f>+LEFT($E$8,5)&amp;LEFT(EECA_data_18!F6,4)&amp;LEFT(EECA_data_18!H6,3)&amp;"15"</f>
        <v>T_P_CICEDSL15</v>
      </c>
      <c r="U10" s="24" t="s">
        <v>359</v>
      </c>
      <c r="V10" s="24" t="s">
        <v>360</v>
      </c>
      <c r="W10" s="24" t="s">
        <v>205</v>
      </c>
      <c r="X10" s="24" t="s">
        <v>373</v>
      </c>
      <c r="Y10" s="24" t="s">
        <v>158</v>
      </c>
      <c r="Z10" s="24" t="str">
        <f t="shared" ref="Z10:Z35" si="1" xml:space="preserve"> _xlfn.CONCAT( U10, " -:- ", V10, " -:- ", W10, " -:- ", X10, " -:- ", Y10 )</f>
        <v>Transport -:- Road Transport -:- Car/SUV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97</v>
      </c>
      <c r="AC10" s="18" t="s">
        <v>302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91</v>
      </c>
      <c r="F11" s="32" t="s">
        <v>359</v>
      </c>
      <c r="G11" s="32" t="s">
        <v>360</v>
      </c>
      <c r="H11" s="32" t="s">
        <v>222</v>
      </c>
      <c r="I11" s="363" t="str">
        <f t="shared" si="0"/>
        <v>Transport -:- Road Transport -:- Bus</v>
      </c>
      <c r="J11" s="18" t="s">
        <v>184</v>
      </c>
      <c r="K11" s="18" t="s">
        <v>93</v>
      </c>
      <c r="L11" s="18"/>
      <c r="M11" s="18"/>
      <c r="N11" s="19"/>
      <c r="O11" s="19"/>
      <c r="R11" s="18" t="s">
        <v>68</v>
      </c>
      <c r="S11" s="18" t="s">
        <v>50</v>
      </c>
      <c r="T11" s="24" t="str">
        <f>+LEFT($E$8,5)&amp;LEFT(EECA_data_18!F7,4)&amp;LEFT(EECA_data_18!H7,3)&amp;"15"</f>
        <v>T_P_CBEVNEW15</v>
      </c>
      <c r="U11" s="24" t="s">
        <v>359</v>
      </c>
      <c r="V11" s="24" t="s">
        <v>360</v>
      </c>
      <c r="W11" s="24" t="s">
        <v>205</v>
      </c>
      <c r="X11" s="24" t="s">
        <v>374</v>
      </c>
      <c r="Y11" s="24" t="s">
        <v>156</v>
      </c>
      <c r="Z11" s="24" t="str">
        <f t="shared" si="1"/>
        <v>Transport -:- Road Transport -:- Car/SUV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97</v>
      </c>
      <c r="AC11" s="18" t="s">
        <v>302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257</v>
      </c>
      <c r="F12" s="32" t="s">
        <v>359</v>
      </c>
      <c r="G12" s="32" t="s">
        <v>360</v>
      </c>
      <c r="H12" s="32" t="s">
        <v>217</v>
      </c>
      <c r="I12" s="363" t="str">
        <f t="shared" si="0"/>
        <v>Transport -:- Road Transport -:- Medium Truck</v>
      </c>
      <c r="J12" s="18" t="s">
        <v>259</v>
      </c>
      <c r="K12" s="18" t="s">
        <v>93</v>
      </c>
      <c r="L12" s="18"/>
      <c r="M12" s="18"/>
      <c r="N12" s="19"/>
      <c r="O12" s="19"/>
      <c r="R12" s="18" t="s">
        <v>68</v>
      </c>
      <c r="S12" s="18" t="s">
        <v>50</v>
      </c>
      <c r="T12" s="24" t="str">
        <f>+LEFT($E$8,5)&amp;LEFT(EECA_data_18!F8,4)&amp;LEFT(EECA_data_18!H8,3)&amp;"15"</f>
        <v>T_P_CBEVUSD15</v>
      </c>
      <c r="U12" s="24" t="s">
        <v>359</v>
      </c>
      <c r="V12" s="24" t="s">
        <v>360</v>
      </c>
      <c r="W12" s="24" t="s">
        <v>205</v>
      </c>
      <c r="X12" s="24" t="s">
        <v>374</v>
      </c>
      <c r="Y12" s="24" t="s">
        <v>156</v>
      </c>
      <c r="Z12" s="24" t="str">
        <f t="shared" si="1"/>
        <v>Transport -:- Road Transport -:- Car/SUV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97</v>
      </c>
      <c r="AC12" s="18" t="s">
        <v>302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258</v>
      </c>
      <c r="F13" s="32" t="s">
        <v>359</v>
      </c>
      <c r="G13" s="32" t="s">
        <v>360</v>
      </c>
      <c r="H13" s="32" t="s">
        <v>282</v>
      </c>
      <c r="I13" s="363" t="str">
        <f t="shared" si="0"/>
        <v>Transport -:- Road Transport -:- Heavy Truck</v>
      </c>
      <c r="J13" s="18" t="s">
        <v>260</v>
      </c>
      <c r="K13" s="18" t="s">
        <v>93</v>
      </c>
      <c r="L13" s="18"/>
      <c r="M13" s="18"/>
      <c r="N13" s="19"/>
      <c r="O13" s="19"/>
      <c r="R13" s="18" t="s">
        <v>68</v>
      </c>
      <c r="S13" s="18" t="s">
        <v>50</v>
      </c>
      <c r="T13" s="24" t="str">
        <f>+LEFT($E$8,5)&amp;LEFT(EECA_data_18!F9,4)&amp;LEFT(EECA_data_18!H9,3)&amp;"15"</f>
        <v>T_P_CICELPG15</v>
      </c>
      <c r="U13" s="24" t="s">
        <v>359</v>
      </c>
      <c r="V13" s="24" t="s">
        <v>360</v>
      </c>
      <c r="W13" s="24" t="s">
        <v>205</v>
      </c>
      <c r="X13" s="24" t="s">
        <v>373</v>
      </c>
      <c r="Y13" s="24" t="s">
        <v>134</v>
      </c>
      <c r="Z13" s="24" t="str">
        <f t="shared" si="1"/>
        <v>Transport -:- Road Transport -:- Car/SUV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97</v>
      </c>
      <c r="AC13" s="18" t="s">
        <v>302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328</v>
      </c>
      <c r="F14" s="32" t="s">
        <v>359</v>
      </c>
      <c r="G14" s="32" t="s">
        <v>360</v>
      </c>
      <c r="H14" s="32" t="s">
        <v>332</v>
      </c>
      <c r="I14" s="363" t="str">
        <f t="shared" si="0"/>
        <v>Transport -:- Road Transport -:- Very Heavy Truck</v>
      </c>
      <c r="J14" s="18" t="s">
        <v>329</v>
      </c>
      <c r="K14" s="18" t="s">
        <v>93</v>
      </c>
      <c r="L14" s="18"/>
      <c r="M14" s="18"/>
      <c r="N14" s="19"/>
      <c r="O14" s="19"/>
      <c r="R14" s="18" t="s">
        <v>68</v>
      </c>
      <c r="S14" s="18" t="s">
        <v>50</v>
      </c>
      <c r="T14" s="24" t="str">
        <f>+LEFT($E$8,5)&amp;LEFT(EECA_data_18!F10,4)&amp;LEFT(EECA_data_18!H10,3)&amp;"15"</f>
        <v>T_P_CHYBPET15</v>
      </c>
      <c r="U14" s="24" t="s">
        <v>359</v>
      </c>
      <c r="V14" s="24" t="s">
        <v>360</v>
      </c>
      <c r="W14" s="24" t="s">
        <v>205</v>
      </c>
      <c r="X14" s="24" t="s">
        <v>375</v>
      </c>
      <c r="Y14" s="24" t="s">
        <v>157</v>
      </c>
      <c r="Z14" s="24" t="str">
        <f t="shared" si="1"/>
        <v>Transport -:- Road Transport -:- Car/SUV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97</v>
      </c>
      <c r="AC14" s="18" t="s">
        <v>302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187</v>
      </c>
      <c r="F15" s="32" t="s">
        <v>359</v>
      </c>
      <c r="G15" s="32" t="s">
        <v>228</v>
      </c>
      <c r="H15" s="32" t="s">
        <v>363</v>
      </c>
      <c r="I15" s="363" t="str">
        <f t="shared" si="0"/>
        <v>Transport -:- Rail -:- Freight Rail</v>
      </c>
      <c r="J15" s="18" t="s">
        <v>185</v>
      </c>
      <c r="K15" s="18" t="s">
        <v>40</v>
      </c>
      <c r="L15" s="18"/>
      <c r="M15" s="18"/>
      <c r="N15" s="19"/>
      <c r="O15" s="19"/>
      <c r="R15" s="131" t="s">
        <v>68</v>
      </c>
      <c r="S15" s="131" t="s">
        <v>50</v>
      </c>
      <c r="T15" s="132" t="str">
        <f>+LEFT($E$8,5)&amp;LEFT(EECA_data_18!F11,4)&amp;LEFT(EECA_data_18!H11,3)&amp;"15"</f>
        <v>T_P_CPHEVPET15</v>
      </c>
      <c r="U15" s="132" t="s">
        <v>359</v>
      </c>
      <c r="V15" s="132" t="s">
        <v>360</v>
      </c>
      <c r="W15" s="132" t="s">
        <v>205</v>
      </c>
      <c r="X15" s="132" t="s">
        <v>376</v>
      </c>
      <c r="Y15" s="132" t="s">
        <v>156</v>
      </c>
      <c r="Z15" s="132" t="str">
        <f t="shared" si="1"/>
        <v>Transport -:- Road Transport -:- Car/SUV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97</v>
      </c>
      <c r="AC15" s="131" t="s">
        <v>302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178</v>
      </c>
      <c r="F16" s="32" t="s">
        <v>359</v>
      </c>
      <c r="G16" s="32" t="s">
        <v>228</v>
      </c>
      <c r="H16" s="32" t="s">
        <v>288</v>
      </c>
      <c r="I16" s="363" t="str">
        <f t="shared" si="0"/>
        <v>Transport -:- Rail -:- Passenger Rail</v>
      </c>
      <c r="J16" s="18" t="s">
        <v>186</v>
      </c>
      <c r="K16" s="18" t="s">
        <v>40</v>
      </c>
      <c r="L16" s="18"/>
      <c r="M16" s="18"/>
      <c r="N16" s="19"/>
      <c r="O16" s="19"/>
      <c r="R16" s="135" t="s">
        <v>68</v>
      </c>
      <c r="S16" s="135" t="s">
        <v>50</v>
      </c>
      <c r="T16" s="136" t="str">
        <f>+LEFT($E$9,5)&amp;LEFT(EECA_data_18!F13,4)&amp;LEFT(EECA_data_18!H13,3)&amp;"15"</f>
        <v>T_C_CICEPET15</v>
      </c>
      <c r="U16" s="136" t="s">
        <v>359</v>
      </c>
      <c r="V16" s="136" t="s">
        <v>360</v>
      </c>
      <c r="W16" s="136" t="s">
        <v>362</v>
      </c>
      <c r="X16" s="136" t="s">
        <v>373</v>
      </c>
      <c r="Y16" s="136" t="s">
        <v>157</v>
      </c>
      <c r="Z16" s="136" t="str">
        <f t="shared" si="1"/>
        <v>Transport -:- Road Transport -:- Van/Ute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97</v>
      </c>
      <c r="AC16" s="135" t="s">
        <v>302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272</v>
      </c>
      <c r="F17" s="32" t="s">
        <v>359</v>
      </c>
      <c r="G17" s="32" t="s">
        <v>361</v>
      </c>
      <c r="H17" s="32" t="s">
        <v>364</v>
      </c>
      <c r="I17" s="363" t="str">
        <f t="shared" si="0"/>
        <v>Transport -:- Shipping -:- Domestic Shipping</v>
      </c>
      <c r="J17" s="18" t="s">
        <v>270</v>
      </c>
      <c r="K17" s="18" t="s">
        <v>40</v>
      </c>
      <c r="L17" s="18"/>
      <c r="M17" s="18"/>
      <c r="N17" s="19"/>
      <c r="O17" s="19"/>
      <c r="R17" s="138" t="s">
        <v>68</v>
      </c>
      <c r="S17" s="138" t="s">
        <v>50</v>
      </c>
      <c r="T17" s="139" t="str">
        <f>+LEFT($E$9,5)&amp;LEFT(EECA_data_18!F14,4)&amp;LEFT(EECA_data_18!H14,3)&amp;"15"</f>
        <v>T_C_CICEDSL15</v>
      </c>
      <c r="U17" s="139" t="s">
        <v>359</v>
      </c>
      <c r="V17" s="139" t="s">
        <v>360</v>
      </c>
      <c r="W17" s="139" t="s">
        <v>362</v>
      </c>
      <c r="X17" s="139" t="s">
        <v>373</v>
      </c>
      <c r="Y17" s="139" t="s">
        <v>158</v>
      </c>
      <c r="Z17" s="139" t="str">
        <f t="shared" si="1"/>
        <v>Transport -:- Road Transport -:- Van/Ute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97</v>
      </c>
      <c r="AC17" s="138" t="s">
        <v>302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273</v>
      </c>
      <c r="F18" s="32" t="s">
        <v>359</v>
      </c>
      <c r="G18" s="32" t="s">
        <v>361</v>
      </c>
      <c r="H18" s="32" t="s">
        <v>365</v>
      </c>
      <c r="I18" s="363" t="str">
        <f t="shared" si="0"/>
        <v>Transport -:- Shipping -:- International Shipping</v>
      </c>
      <c r="J18" s="18" t="s">
        <v>271</v>
      </c>
      <c r="K18" s="18" t="s">
        <v>40</v>
      </c>
      <c r="L18" s="18"/>
      <c r="M18" s="18"/>
      <c r="N18" s="19"/>
      <c r="O18" s="19"/>
      <c r="R18" s="138" t="s">
        <v>68</v>
      </c>
      <c r="S18" s="138" t="s">
        <v>50</v>
      </c>
      <c r="T18" s="139" t="str">
        <f>+LEFT($E$9,5)&amp;LEFT(EECA_data_18!F15,4)&amp;LEFT(EECA_data_18!H15,3)&amp;"15"</f>
        <v>T_C_CBEVNEW15</v>
      </c>
      <c r="U18" s="139" t="s">
        <v>359</v>
      </c>
      <c r="V18" s="139" t="s">
        <v>360</v>
      </c>
      <c r="W18" s="139" t="s">
        <v>362</v>
      </c>
      <c r="X18" s="139" t="s">
        <v>374</v>
      </c>
      <c r="Y18" s="139" t="s">
        <v>156</v>
      </c>
      <c r="Z18" s="139" t="str">
        <f t="shared" si="1"/>
        <v>Transport -:- Road Transport -:- Van/Ute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97</v>
      </c>
      <c r="AC18" s="138" t="s">
        <v>302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103</v>
      </c>
      <c r="F19" s="32" t="s">
        <v>359</v>
      </c>
      <c r="G19" s="32" t="s">
        <v>224</v>
      </c>
      <c r="H19" s="32" t="s">
        <v>366</v>
      </c>
      <c r="I19" s="363" t="str">
        <f t="shared" si="0"/>
        <v>Transport -:- Aviation -:- Domestic Aviation</v>
      </c>
      <c r="J19" s="18" t="s">
        <v>94</v>
      </c>
      <c r="K19" s="18" t="s">
        <v>40</v>
      </c>
      <c r="L19" s="18"/>
      <c r="M19" s="18"/>
      <c r="N19" s="19"/>
      <c r="O19" s="19"/>
      <c r="R19" s="138" t="s">
        <v>68</v>
      </c>
      <c r="S19" s="138" t="s">
        <v>50</v>
      </c>
      <c r="T19" s="139" t="str">
        <f>+LEFT($E$9,5)&amp;LEFT(EECA_data_18!F16,4)&amp;LEFT(EECA_data_18!H16,3)&amp;"15"</f>
        <v>T_C_CICELPG15</v>
      </c>
      <c r="U19" s="139" t="s">
        <v>359</v>
      </c>
      <c r="V19" s="139" t="s">
        <v>360</v>
      </c>
      <c r="W19" s="139" t="s">
        <v>362</v>
      </c>
      <c r="X19" s="139" t="s">
        <v>373</v>
      </c>
      <c r="Y19" s="139" t="s">
        <v>134</v>
      </c>
      <c r="Z19" s="139" t="str">
        <f t="shared" si="1"/>
        <v>Transport -:- Road Transport -:- Van/Ute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97</v>
      </c>
      <c r="AC19" s="138" t="s">
        <v>302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163</v>
      </c>
      <c r="F20" s="32" t="s">
        <v>359</v>
      </c>
      <c r="G20" s="32" t="s">
        <v>224</v>
      </c>
      <c r="H20" s="32" t="s">
        <v>367</v>
      </c>
      <c r="I20" s="363" t="str">
        <f t="shared" si="0"/>
        <v>Transport -:- Aviation -:- International Aviation</v>
      </c>
      <c r="J20" s="18" t="s">
        <v>162</v>
      </c>
      <c r="K20" s="18" t="s">
        <v>40</v>
      </c>
      <c r="L20" s="18"/>
      <c r="M20" s="18"/>
      <c r="N20" s="19"/>
      <c r="O20" s="19"/>
      <c r="R20" s="141" t="s">
        <v>68</v>
      </c>
      <c r="S20" s="141" t="s">
        <v>50</v>
      </c>
      <c r="T20" s="142" t="str">
        <f>+LEFT($E$9,5)&amp;LEFT(EECA_data_18!F17,4)&amp;LEFT(EECA_data_18!H17,3)&amp;"15"</f>
        <v>T_C_CHYBPET15</v>
      </c>
      <c r="U20" s="142" t="s">
        <v>359</v>
      </c>
      <c r="V20" s="142" t="s">
        <v>360</v>
      </c>
      <c r="W20" s="142" t="s">
        <v>362</v>
      </c>
      <c r="X20" s="142" t="s">
        <v>375</v>
      </c>
      <c r="Y20" s="142" t="s">
        <v>157</v>
      </c>
      <c r="Z20" s="142" t="str">
        <f t="shared" si="1"/>
        <v>Transport -:- Road Transport -:- Van/Ute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97</v>
      </c>
      <c r="AC20" s="141" t="s">
        <v>302</v>
      </c>
      <c r="AD20" s="141"/>
      <c r="AE20" s="141"/>
      <c r="AF20" s="141"/>
    </row>
    <row r="21" spans="3:32" ht="15.75" customHeight="1" thickBot="1">
      <c r="C21" s="364" t="s">
        <v>39</v>
      </c>
      <c r="D21" s="364" t="s">
        <v>50</v>
      </c>
      <c r="E21" s="364" t="s">
        <v>87</v>
      </c>
      <c r="F21" s="367" t="s">
        <v>359</v>
      </c>
      <c r="G21" s="367"/>
      <c r="H21" s="367" t="s">
        <v>368</v>
      </c>
      <c r="I21" s="365" t="str">
        <f t="shared" si="0"/>
        <v>Transport -:-  -:- Green Hydrogen</v>
      </c>
      <c r="J21" s="364" t="s">
        <v>88</v>
      </c>
      <c r="K21" s="364" t="s">
        <v>40</v>
      </c>
      <c r="L21" s="364" t="s">
        <v>166</v>
      </c>
      <c r="M21" s="364"/>
      <c r="N21" s="366"/>
      <c r="O21" s="366"/>
      <c r="R21" s="131" t="s">
        <v>68</v>
      </c>
      <c r="S21" s="131" t="s">
        <v>50</v>
      </c>
      <c r="T21" s="132" t="s">
        <v>95</v>
      </c>
      <c r="U21" s="154" t="s">
        <v>359</v>
      </c>
      <c r="V21" s="154" t="s">
        <v>360</v>
      </c>
      <c r="W21" s="154" t="s">
        <v>170</v>
      </c>
      <c r="X21" s="154" t="s">
        <v>373</v>
      </c>
      <c r="Y21" s="154" t="s">
        <v>157</v>
      </c>
      <c r="Z21" s="154" t="str">
        <f t="shared" si="1"/>
        <v>Transport -:- Road Transport -:- Motorcycles -:- Internal Combustion Engine -:- Petrol</v>
      </c>
      <c r="AA21" s="133" t="s">
        <v>96</v>
      </c>
      <c r="AB21" s="131" t="s">
        <v>97</v>
      </c>
      <c r="AC21" s="131" t="s">
        <v>303</v>
      </c>
      <c r="AD21" s="131"/>
      <c r="AE21" s="131"/>
      <c r="AF21" s="131"/>
    </row>
    <row r="22" spans="3:32" ht="15.75" customHeight="1">
      <c r="C22" s="4"/>
      <c r="D22" s="4"/>
      <c r="E22" s="42"/>
      <c r="H22" s="4"/>
      <c r="I22" s="4"/>
      <c r="J22" s="44"/>
      <c r="K22" s="44"/>
      <c r="M22" s="8"/>
      <c r="N22" s="9"/>
      <c r="R22" s="138" t="s">
        <v>68</v>
      </c>
      <c r="S22" s="138" t="s">
        <v>50</v>
      </c>
      <c r="T22" s="139" t="s">
        <v>98</v>
      </c>
      <c r="U22" s="136" t="s">
        <v>359</v>
      </c>
      <c r="V22" s="136" t="s">
        <v>360</v>
      </c>
      <c r="W22" s="136" t="s">
        <v>222</v>
      </c>
      <c r="X22" s="136" t="s">
        <v>373</v>
      </c>
      <c r="Y22" s="136" t="s">
        <v>157</v>
      </c>
      <c r="Z22" s="136" t="str">
        <f t="shared" si="1"/>
        <v>Transport -:- Road Transport -:- Bus -:- Internal Combustion Engine -:- Petrol</v>
      </c>
      <c r="AA22" s="140" t="str">
        <f>+EECA_data_18!D23&amp;"- "&amp;EECA_data_18!F23&amp;"-"&amp;EECA_data_18!H23</f>
        <v>Bus- ICE-PET</v>
      </c>
      <c r="AB22" s="138" t="s">
        <v>97</v>
      </c>
      <c r="AC22" s="138" t="s">
        <v>304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H23" s="4"/>
      <c r="I23" s="4"/>
      <c r="J23" s="44"/>
      <c r="K23" s="44"/>
      <c r="M23" s="8"/>
      <c r="N23" s="9"/>
      <c r="R23" s="138" t="s">
        <v>68</v>
      </c>
      <c r="S23" s="138" t="s">
        <v>50</v>
      </c>
      <c r="T23" s="139" t="s">
        <v>99</v>
      </c>
      <c r="U23" s="139" t="s">
        <v>359</v>
      </c>
      <c r="V23" s="139" t="s">
        <v>360</v>
      </c>
      <c r="W23" s="139" t="s">
        <v>222</v>
      </c>
      <c r="X23" s="139" t="s">
        <v>373</v>
      </c>
      <c r="Y23" s="139" t="s">
        <v>158</v>
      </c>
      <c r="Z23" s="139" t="str">
        <f t="shared" si="1"/>
        <v>Transport -:- Road Transport -:- Bus -:- Internal Combustion Engine -:- Diesel</v>
      </c>
      <c r="AA23" s="140" t="str">
        <f>+EECA_data_18!D24&amp;"- "&amp;EECA_data_18!F24&amp;"-"&amp;EECA_data_18!H24</f>
        <v>Bus- ICE-DSL</v>
      </c>
      <c r="AB23" s="138" t="s">
        <v>97</v>
      </c>
      <c r="AC23" s="138" t="s">
        <v>304</v>
      </c>
      <c r="AD23" s="138"/>
      <c r="AE23" s="138"/>
      <c r="AF23" s="138"/>
    </row>
    <row r="24" spans="3:32" ht="15.75" customHeight="1" thickBot="1">
      <c r="R24" s="141" t="s">
        <v>68</v>
      </c>
      <c r="S24" s="141" t="s">
        <v>50</v>
      </c>
      <c r="T24" s="142" t="s">
        <v>100</v>
      </c>
      <c r="U24" s="142" t="s">
        <v>359</v>
      </c>
      <c r="V24" s="142" t="s">
        <v>360</v>
      </c>
      <c r="W24" s="142" t="s">
        <v>222</v>
      </c>
      <c r="X24" s="142" t="s">
        <v>374</v>
      </c>
      <c r="Y24" s="142" t="s">
        <v>156</v>
      </c>
      <c r="Z24" s="142" t="str">
        <f t="shared" si="1"/>
        <v>Transport -:- Road Transport -:- Bus -:- Battery Electric Vehicle -:- Electricity</v>
      </c>
      <c r="AA24" s="143" t="str">
        <f>+EECA_data_18!D25&amp;"- "&amp;EECA_data_18!F25&amp;"-"&amp;EECA_data_18!H25</f>
        <v>Bus- BEV-NEW</v>
      </c>
      <c r="AB24" s="141" t="s">
        <v>97</v>
      </c>
      <c r="AC24" s="141" t="s">
        <v>304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R25" s="18" t="s">
        <v>68</v>
      </c>
      <c r="S25" s="18" t="s">
        <v>50</v>
      </c>
      <c r="T25" s="24" t="s">
        <v>261</v>
      </c>
      <c r="U25" s="130" t="s">
        <v>359</v>
      </c>
      <c r="V25" s="130" t="s">
        <v>360</v>
      </c>
      <c r="W25" s="130" t="s">
        <v>217</v>
      </c>
      <c r="X25" s="130" t="s">
        <v>373</v>
      </c>
      <c r="Y25" s="130" t="s">
        <v>157</v>
      </c>
      <c r="Z25" s="130" t="str">
        <f t="shared" si="1"/>
        <v>Transport -:- Road Transport -:- Medium Truck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97</v>
      </c>
      <c r="AC25" s="18" t="s">
        <v>305</v>
      </c>
      <c r="AD25" s="18"/>
      <c r="AE25" s="18"/>
      <c r="AF25" s="18"/>
    </row>
    <row r="26" spans="3:32" ht="15.75" customHeight="1">
      <c r="R26" s="18" t="s">
        <v>68</v>
      </c>
      <c r="S26" s="18" t="s">
        <v>50</v>
      </c>
      <c r="T26" s="24" t="s">
        <v>262</v>
      </c>
      <c r="U26" s="24" t="s">
        <v>359</v>
      </c>
      <c r="V26" s="24" t="s">
        <v>360</v>
      </c>
      <c r="W26" s="24" t="s">
        <v>217</v>
      </c>
      <c r="X26" s="24" t="s">
        <v>373</v>
      </c>
      <c r="Y26" s="24" t="s">
        <v>158</v>
      </c>
      <c r="Z26" s="24" t="str">
        <f t="shared" si="1"/>
        <v>Transport -:- Road Transport -:- Medium Truck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97</v>
      </c>
      <c r="AC26" s="18" t="s">
        <v>305</v>
      </c>
      <c r="AD26" s="18"/>
      <c r="AE26" s="18"/>
      <c r="AF26" s="18"/>
    </row>
    <row r="27" spans="3:32" ht="15.75" customHeight="1" thickBot="1">
      <c r="R27" s="131" t="s">
        <v>68</v>
      </c>
      <c r="S27" s="131" t="s">
        <v>50</v>
      </c>
      <c r="T27" s="133" t="s">
        <v>263</v>
      </c>
      <c r="U27" s="132" t="s">
        <v>359</v>
      </c>
      <c r="V27" s="132" t="s">
        <v>360</v>
      </c>
      <c r="W27" s="132" t="s">
        <v>217</v>
      </c>
      <c r="X27" s="132" t="s">
        <v>374</v>
      </c>
      <c r="Y27" s="132" t="s">
        <v>156</v>
      </c>
      <c r="Z27" s="132" t="str">
        <f t="shared" si="1"/>
        <v>Transport -:- Road Transport -:- Medium Truck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97</v>
      </c>
      <c r="AC27" s="131" t="s">
        <v>305</v>
      </c>
      <c r="AD27" s="131"/>
      <c r="AE27" s="131"/>
      <c r="AF27" s="131"/>
    </row>
    <row r="28" spans="3:32" ht="15.75" customHeight="1" thickBot="1">
      <c r="R28" s="141" t="s">
        <v>68</v>
      </c>
      <c r="S28" s="141" t="s">
        <v>50</v>
      </c>
      <c r="T28" s="143" t="s">
        <v>264</v>
      </c>
      <c r="U28" s="371" t="s">
        <v>359</v>
      </c>
      <c r="V28" s="371" t="s">
        <v>360</v>
      </c>
      <c r="W28" s="371" t="s">
        <v>282</v>
      </c>
      <c r="X28" s="371" t="s">
        <v>373</v>
      </c>
      <c r="Y28" s="371" t="s">
        <v>158</v>
      </c>
      <c r="Z28" s="371" t="str">
        <f t="shared" si="1"/>
        <v>Transport -:- Road Transport -:- Heavy Truck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97</v>
      </c>
      <c r="AC28" s="141" t="s">
        <v>305</v>
      </c>
      <c r="AD28" s="141"/>
      <c r="AE28" s="141"/>
      <c r="AF28" s="141"/>
    </row>
    <row r="29" spans="3:32" ht="15.75" customHeight="1" thickBot="1">
      <c r="R29" s="141" t="s">
        <v>68</v>
      </c>
      <c r="S29" s="141" t="s">
        <v>50</v>
      </c>
      <c r="T29" s="143" t="s">
        <v>333</v>
      </c>
      <c r="U29" s="371" t="s">
        <v>359</v>
      </c>
      <c r="V29" s="371" t="s">
        <v>360</v>
      </c>
      <c r="W29" s="371" t="s">
        <v>332</v>
      </c>
      <c r="X29" s="371" t="s">
        <v>373</v>
      </c>
      <c r="Y29" s="371" t="s">
        <v>158</v>
      </c>
      <c r="Z29" s="371" t="str">
        <f t="shared" si="1"/>
        <v>Transport -:- Road Transport -:- Very Heavy Truck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97</v>
      </c>
      <c r="AC29" s="141" t="s">
        <v>305</v>
      </c>
      <c r="AD29" s="141"/>
      <c r="AE29" s="141"/>
      <c r="AF29" s="141"/>
    </row>
    <row r="30" spans="3:32" ht="15.75" customHeight="1" thickBot="1">
      <c r="R30" s="152" t="s">
        <v>68</v>
      </c>
      <c r="S30" s="153" t="s">
        <v>50</v>
      </c>
      <c r="T30" s="154" t="s">
        <v>268</v>
      </c>
      <c r="U30" s="372" t="s">
        <v>359</v>
      </c>
      <c r="V30" s="373" t="s">
        <v>361</v>
      </c>
      <c r="W30" s="373" t="s">
        <v>364</v>
      </c>
      <c r="X30" s="373" t="s">
        <v>377</v>
      </c>
      <c r="Y30" s="373" t="s">
        <v>159</v>
      </c>
      <c r="Z30" s="154" t="str">
        <f t="shared" si="1"/>
        <v>Transport -:- Shipping -:- Domestic Shipping -:- Ship -:- Fuel Oil</v>
      </c>
      <c r="AA30" s="155" t="s">
        <v>270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R31" s="148" t="s">
        <v>68</v>
      </c>
      <c r="S31" s="149" t="s">
        <v>50</v>
      </c>
      <c r="T31" s="150" t="s">
        <v>269</v>
      </c>
      <c r="U31" s="371" t="s">
        <v>359</v>
      </c>
      <c r="V31" s="371" t="s">
        <v>361</v>
      </c>
      <c r="W31" s="371" t="s">
        <v>365</v>
      </c>
      <c r="X31" s="371" t="s">
        <v>377</v>
      </c>
      <c r="Y31" s="371" t="s">
        <v>159</v>
      </c>
      <c r="Z31" s="371" t="str">
        <f t="shared" si="1"/>
        <v>Transport -:- Shipping -:- International Shipping -:- Ship -:- Fuel Oil</v>
      </c>
      <c r="AA31" s="151" t="s">
        <v>271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R32" s="144" t="s">
        <v>68</v>
      </c>
      <c r="S32" s="129" t="s">
        <v>50</v>
      </c>
      <c r="T32" s="130" t="s">
        <v>102</v>
      </c>
      <c r="U32" s="130" t="s">
        <v>359</v>
      </c>
      <c r="V32" s="130" t="s">
        <v>224</v>
      </c>
      <c r="W32" s="130" t="s">
        <v>366</v>
      </c>
      <c r="X32" s="130" t="s">
        <v>378</v>
      </c>
      <c r="Y32" s="130" t="s">
        <v>379</v>
      </c>
      <c r="Z32" s="130" t="str">
        <f t="shared" si="1"/>
        <v>Transport -:- Aviation -:- Domestic Aviation -:- Plane -:- Jet Fuel</v>
      </c>
      <c r="AA32" s="145" t="s">
        <v>101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R33" s="146" t="s">
        <v>68</v>
      </c>
      <c r="S33" s="141" t="s">
        <v>50</v>
      </c>
      <c r="T33" s="142" t="s">
        <v>160</v>
      </c>
      <c r="U33" s="142" t="s">
        <v>359</v>
      </c>
      <c r="V33" s="142" t="s">
        <v>224</v>
      </c>
      <c r="W33" s="142" t="s">
        <v>367</v>
      </c>
      <c r="X33" s="142" t="s">
        <v>378</v>
      </c>
      <c r="Y33" s="142" t="s">
        <v>379</v>
      </c>
      <c r="Z33" s="142" t="str">
        <f t="shared" si="1"/>
        <v>Transport -:- Aviation -:- International Aviation -:- Plane -:- Jet Fuel</v>
      </c>
      <c r="AA33" s="147" t="s">
        <v>161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R34" s="374" t="s">
        <v>68</v>
      </c>
      <c r="S34" s="375" t="s">
        <v>50</v>
      </c>
      <c r="T34" s="376" t="s">
        <v>384</v>
      </c>
      <c r="U34" s="376" t="s">
        <v>359</v>
      </c>
      <c r="V34" s="376" t="s">
        <v>228</v>
      </c>
      <c r="W34" s="376" t="s">
        <v>363</v>
      </c>
      <c r="X34" s="376" t="s">
        <v>380</v>
      </c>
      <c r="Y34" s="376" t="s">
        <v>158</v>
      </c>
      <c r="Z34" s="376" t="str">
        <f t="shared" si="1"/>
        <v>Transport -:- Rail -:- Freight Rail -:- Train -:- Diesel</v>
      </c>
      <c r="AA34" s="377" t="s">
        <v>171</v>
      </c>
      <c r="AB34" s="375" t="s">
        <v>40</v>
      </c>
      <c r="AC34" s="375" t="s">
        <v>57</v>
      </c>
      <c r="AD34" s="375"/>
      <c r="AE34" s="374"/>
      <c r="AF34" s="374"/>
    </row>
    <row r="35" spans="3:85" ht="15.75" customHeight="1" thickBot="1">
      <c r="R35" s="146" t="s">
        <v>68</v>
      </c>
      <c r="S35" s="141" t="s">
        <v>50</v>
      </c>
      <c r="T35" s="142" t="s">
        <v>179</v>
      </c>
      <c r="U35" s="142" t="s">
        <v>359</v>
      </c>
      <c r="V35" s="142" t="s">
        <v>228</v>
      </c>
      <c r="W35" s="142" t="s">
        <v>288</v>
      </c>
      <c r="X35" s="142" t="s">
        <v>380</v>
      </c>
      <c r="Y35" s="142" t="s">
        <v>156</v>
      </c>
      <c r="Z35" s="142" t="str">
        <f t="shared" si="1"/>
        <v>Transport -:- Rail -:- Passenger Rail -:- Train -:- Electricity</v>
      </c>
      <c r="AA35" s="147" t="s">
        <v>180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341</v>
      </c>
      <c r="S39">
        <v>0.70448204835116923</v>
      </c>
    </row>
    <row r="40" spans="3:85" ht="15.75" customHeight="1">
      <c r="O40" s="2" t="s">
        <v>336</v>
      </c>
      <c r="P40" s="51"/>
      <c r="Q40" s="51"/>
      <c r="R40" s="51"/>
      <c r="S40" s="51"/>
    </row>
    <row r="41" spans="3:85" ht="15.75" customHeight="1">
      <c r="O41" s="2" t="s">
        <v>337</v>
      </c>
      <c r="P41" s="2" t="s">
        <v>338</v>
      </c>
      <c r="Q41" s="2" t="s">
        <v>339</v>
      </c>
      <c r="R41" s="2" t="s">
        <v>340</v>
      </c>
      <c r="T41" s="51"/>
      <c r="U41" s="51"/>
    </row>
    <row r="42" spans="3:85" ht="15.75" customHeight="1">
      <c r="N42" s="2" t="s">
        <v>334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335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301</v>
      </c>
    </row>
    <row r="44" spans="3:85" ht="15.75" customHeight="1">
      <c r="N44" s="2" t="s">
        <v>342</v>
      </c>
      <c r="Q44" s="2">
        <v>2.5</v>
      </c>
      <c r="R44" s="2">
        <f>Q44*$S$39</f>
        <v>1.7612051208779231</v>
      </c>
    </row>
    <row r="45" spans="3:85" ht="15.75" customHeight="1">
      <c r="M45" s="294"/>
      <c r="N45" s="2" t="s">
        <v>343</v>
      </c>
      <c r="Q45" s="2">
        <v>79.099999999999994</v>
      </c>
      <c r="R45" s="2">
        <f>Q45*$S$39</f>
        <v>55.724530024577483</v>
      </c>
      <c r="U45" s="294"/>
    </row>
    <row r="46" spans="3:85" ht="15.75" customHeight="1">
      <c r="M46" s="295"/>
      <c r="P46" s="295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322</v>
      </c>
      <c r="G48" s="119" t="s">
        <v>267</v>
      </c>
      <c r="H48" s="119" t="s">
        <v>41</v>
      </c>
      <c r="I48" s="120" t="s">
        <v>172</v>
      </c>
      <c r="J48" s="119" t="s">
        <v>89</v>
      </c>
      <c r="K48" s="119" t="s">
        <v>298</v>
      </c>
      <c r="L48" s="119" t="s">
        <v>299</v>
      </c>
      <c r="M48" s="119" t="s">
        <v>53</v>
      </c>
      <c r="N48" s="119" t="s">
        <v>323</v>
      </c>
      <c r="O48" s="119" t="s">
        <v>293</v>
      </c>
      <c r="P48" s="119" t="s">
        <v>83</v>
      </c>
      <c r="Q48" s="119" t="s">
        <v>82</v>
      </c>
      <c r="R48" s="119" t="s">
        <v>84</v>
      </c>
      <c r="S48" s="119" t="s">
        <v>324</v>
      </c>
      <c r="T48" s="120" t="s">
        <v>294</v>
      </c>
      <c r="U48" s="119" t="s">
        <v>295</v>
      </c>
      <c r="V48" s="119" t="s">
        <v>296</v>
      </c>
      <c r="W48" s="119" t="s">
        <v>297</v>
      </c>
      <c r="X48" s="119" t="s">
        <v>265</v>
      </c>
      <c r="Y48" s="119" t="s">
        <v>266</v>
      </c>
      <c r="Z48" s="119" t="s">
        <v>325</v>
      </c>
      <c r="AA48" s="119" t="s">
        <v>316</v>
      </c>
    </row>
    <row r="49" spans="2:39" ht="48">
      <c r="C49" s="121" t="s">
        <v>34</v>
      </c>
      <c r="D49" s="121" t="s">
        <v>30</v>
      </c>
      <c r="E49" s="121" t="s">
        <v>31</v>
      </c>
      <c r="F49" s="121" t="s">
        <v>275</v>
      </c>
      <c r="G49" s="121" t="s">
        <v>81</v>
      </c>
      <c r="H49" s="121" t="s">
        <v>49</v>
      </c>
      <c r="I49" s="124" t="s">
        <v>237</v>
      </c>
      <c r="J49" s="122" t="s">
        <v>238</v>
      </c>
      <c r="K49" s="122" t="s">
        <v>238</v>
      </c>
      <c r="L49" s="122" t="s">
        <v>244</v>
      </c>
      <c r="M49" s="122" t="s">
        <v>245</v>
      </c>
      <c r="N49" s="122" t="s">
        <v>253</v>
      </c>
      <c r="O49" s="122" t="s">
        <v>253</v>
      </c>
      <c r="P49" s="122" t="s">
        <v>248</v>
      </c>
      <c r="Q49" s="122" t="s">
        <v>249</v>
      </c>
      <c r="R49" s="122" t="s">
        <v>250</v>
      </c>
      <c r="S49" s="122" t="s">
        <v>252</v>
      </c>
      <c r="T49" s="124" t="s">
        <v>251</v>
      </c>
      <c r="U49" s="122" t="s">
        <v>252</v>
      </c>
      <c r="V49" s="122" t="s">
        <v>256</v>
      </c>
      <c r="W49" s="122" t="s">
        <v>252</v>
      </c>
      <c r="X49" s="122" t="s">
        <v>254</v>
      </c>
      <c r="Y49" s="122" t="s">
        <v>255</v>
      </c>
      <c r="Z49" s="122" t="s">
        <v>317</v>
      </c>
      <c r="AA49" s="122" t="s">
        <v>317</v>
      </c>
    </row>
    <row r="50" spans="2:39" ht="24">
      <c r="C50" s="121" t="s">
        <v>45</v>
      </c>
      <c r="D50" s="121"/>
      <c r="E50" s="121"/>
      <c r="F50" s="121" t="s">
        <v>104</v>
      </c>
      <c r="G50" s="121" t="s">
        <v>104</v>
      </c>
      <c r="H50" s="121" t="s">
        <v>46</v>
      </c>
      <c r="I50" s="124"/>
      <c r="J50" s="122">
        <v>2015</v>
      </c>
      <c r="K50" s="122">
        <v>2018</v>
      </c>
      <c r="L50" s="122"/>
      <c r="M50" s="122" t="s">
        <v>246</v>
      </c>
      <c r="N50" s="122" t="s">
        <v>247</v>
      </c>
      <c r="O50" s="122" t="s">
        <v>247</v>
      </c>
      <c r="P50" s="122" t="s">
        <v>306</v>
      </c>
      <c r="Q50" s="122" t="s">
        <v>306</v>
      </c>
      <c r="R50" s="122" t="s">
        <v>306</v>
      </c>
      <c r="S50" s="124" t="s">
        <v>300</v>
      </c>
      <c r="T50" s="124" t="s">
        <v>300</v>
      </c>
      <c r="U50" s="124" t="s">
        <v>300</v>
      </c>
      <c r="V50" s="124" t="s">
        <v>300</v>
      </c>
      <c r="W50" s="124" t="s">
        <v>300</v>
      </c>
      <c r="X50" s="122" t="s">
        <v>247</v>
      </c>
      <c r="Y50" s="122"/>
      <c r="Z50" s="122" t="s">
        <v>247</v>
      </c>
      <c r="AA50" s="122" t="s">
        <v>247</v>
      </c>
    </row>
    <row r="51" spans="2:39" ht="15.75" customHeight="1">
      <c r="B51" s="406"/>
      <c r="C51" s="110" t="str">
        <f t="shared" ref="C51:C57" si="2">+T9</f>
        <v>T_P_CICEPET15</v>
      </c>
      <c r="D51" s="111" t="str">
        <f>"TRA"&amp;LEFT(RIGHT(C51,5),3)</f>
        <v>TRAPET</v>
      </c>
      <c r="E51" s="110" t="str">
        <f>+$E$8</f>
        <v>T_P_Car</v>
      </c>
      <c r="F51" s="232">
        <f>+EECA_data_15!H5</f>
        <v>0.28964251024745374</v>
      </c>
      <c r="G51" s="112">
        <f>EECA_data_18!J5*1.043</f>
        <v>0.30845918332748123</v>
      </c>
      <c r="H51" s="113">
        <f>+EECA_data_18!K5</f>
        <v>18.893708932999999</v>
      </c>
      <c r="I51" s="125"/>
      <c r="J51" s="112">
        <f>+EECA_data_15!J5*EECA_data_15!Q5</f>
        <v>21.762128000000001</v>
      </c>
      <c r="K51" s="112">
        <f>EECA_data_18!L5*EECA_data_18!S5</f>
        <v>23.484608034388788</v>
      </c>
      <c r="L51" s="113">
        <v>-1</v>
      </c>
      <c r="M51" s="112">
        <v>0.08</v>
      </c>
      <c r="N51" s="257">
        <f>+J51/M51/S51</f>
        <v>0.13338014858711711</v>
      </c>
      <c r="O51" s="257">
        <f>+K51/M51/T51</f>
        <v>0.1330791275965717</v>
      </c>
      <c r="P51" s="113">
        <f>+EECA_data_18!M5</f>
        <v>33.857253063779488</v>
      </c>
      <c r="Q51" s="275">
        <f>+EECA_data_18!P5</f>
        <v>1.3836761070950265</v>
      </c>
      <c r="R51" s="113"/>
      <c r="S51" s="113">
        <f>+EECA_data_15!L5*EECA_data_15!Q5</f>
        <v>2039.4834080000001</v>
      </c>
      <c r="T51" s="285">
        <f>+EECA_data_18!N5*EECA_data_18!S5</f>
        <v>2205.8876228868689</v>
      </c>
      <c r="U51" s="112">
        <v>0</v>
      </c>
      <c r="V51" s="112"/>
      <c r="W51" s="113"/>
      <c r="X51" s="113"/>
      <c r="Y51" s="113"/>
      <c r="Z51" s="113"/>
      <c r="AA51" s="113"/>
      <c r="AB51" s="48"/>
      <c r="AC51" s="50"/>
      <c r="AD51" s="50"/>
      <c r="AE51" s="156"/>
      <c r="AI51" s="252"/>
      <c r="AJ51" s="252"/>
    </row>
    <row r="52" spans="2:39" ht="15.75" customHeight="1">
      <c r="B52" s="406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232">
        <f>+EECA_data_15!H6</f>
        <v>0.27145637995161387</v>
      </c>
      <c r="G52" s="112">
        <f>EECA_data_18!J6</f>
        <v>0.27102281432564018</v>
      </c>
      <c r="H52" s="113">
        <f>+EECA_data_18!K6</f>
        <v>19.957648846000001</v>
      </c>
      <c r="I52" s="125"/>
      <c r="J52" s="112">
        <f>+EECA_data_15!J6*EECA_data_15!Q6</f>
        <v>2.5267200000000001</v>
      </c>
      <c r="K52" s="112">
        <f>EECA_data_18!L6*EECA_data_18!S6</f>
        <v>2.795557211328644</v>
      </c>
      <c r="L52" s="113">
        <v>-1</v>
      </c>
      <c r="M52" s="112">
        <f>M51</f>
        <v>0.08</v>
      </c>
      <c r="N52" s="257">
        <f>+J52/M52/S52</f>
        <v>0.16738269262958214</v>
      </c>
      <c r="O52" s="257">
        <f>+K52/M52/T52</f>
        <v>0.16652648589847888</v>
      </c>
      <c r="P52" s="113">
        <f>+EECA_data_18!M6</f>
        <v>40.982161028207202</v>
      </c>
      <c r="Q52" s="275">
        <f>+EECA_data_18!P6</f>
        <v>1.3430866666666668</v>
      </c>
      <c r="R52" s="113"/>
      <c r="S52" s="113">
        <f>+EECA_data_15!L6*EECA_data_15!Q6</f>
        <v>188.69334399999997</v>
      </c>
      <c r="T52" s="285">
        <f>+EECA_data_18!N6*EECA_data_18!S6</f>
        <v>209.84328680851149</v>
      </c>
      <c r="U52" s="112">
        <v>0</v>
      </c>
      <c r="V52" s="112"/>
      <c r="W52" s="113"/>
      <c r="X52" s="113"/>
      <c r="Y52" s="113"/>
      <c r="Z52" s="113"/>
      <c r="AA52" s="113"/>
      <c r="AB52" s="48"/>
      <c r="AC52" s="50"/>
      <c r="AD52" s="50"/>
      <c r="AE52" s="156"/>
      <c r="AI52" s="252"/>
      <c r="AJ52" s="252"/>
    </row>
    <row r="53" spans="2:39" ht="15.75" customHeight="1">
      <c r="B53" s="406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232">
        <f>+EECA_data_15!H7</f>
        <v>1.3967093772495132</v>
      </c>
      <c r="G53" s="112">
        <f>EECA_data_18!J7</f>
        <v>1.4079922210878586</v>
      </c>
      <c r="H53" s="113">
        <f>+EECA_data_18!K7</f>
        <v>18.893708932999999</v>
      </c>
      <c r="I53" s="125"/>
      <c r="J53" s="112">
        <f>+EECA_data_15!J7*EECA_data_15!Q7</f>
        <v>3.0080000000000003E-3</v>
      </c>
      <c r="K53" s="112">
        <f>EECA_data_18!L7*EECA_data_18!S7</f>
        <v>4.8186480704418416E-2</v>
      </c>
      <c r="L53" s="113">
        <v>-1</v>
      </c>
      <c r="M53" s="112">
        <f t="shared" ref="M53:M57" si="5">M52</f>
        <v>0.08</v>
      </c>
      <c r="N53" s="257">
        <f>+J53/M53/S53</f>
        <v>0.10593220338983052</v>
      </c>
      <c r="O53" s="257">
        <f>+K53/M53/T53</f>
        <v>9.6019078547742456E-2</v>
      </c>
      <c r="P53" s="113">
        <f>+EECA_data_18!M7</f>
        <v>56.434273897483351</v>
      </c>
      <c r="Q53" s="275">
        <f>+EECA_data_18!P7</f>
        <v>1.3469862952194624</v>
      </c>
      <c r="R53" s="113"/>
      <c r="S53" s="113">
        <f>+EECA_data_15!L7*EECA_data_15!Q7</f>
        <v>0.35494399999999998</v>
      </c>
      <c r="T53" s="285">
        <f>+EECA_data_18!N7*EECA_data_18!S7</f>
        <v>6.2730346709767693</v>
      </c>
      <c r="U53" s="112">
        <v>0</v>
      </c>
      <c r="V53" s="112"/>
      <c r="W53" s="113"/>
      <c r="X53" s="113"/>
      <c r="Y53" s="113"/>
      <c r="Z53" s="113"/>
      <c r="AA53" s="113"/>
      <c r="AB53" s="48"/>
      <c r="AC53" s="50"/>
      <c r="AD53" s="50"/>
      <c r="AE53" s="156"/>
      <c r="AI53" s="252"/>
      <c r="AJ53" s="252"/>
    </row>
    <row r="54" spans="2:39" ht="15.75" customHeight="1">
      <c r="B54" s="406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232">
        <f>+EECA_data_15!H8</f>
        <v>1.3967093772495132</v>
      </c>
      <c r="G54" s="112">
        <f>EECA_data_18!J8</f>
        <v>1.4079922210878586</v>
      </c>
      <c r="H54" s="113">
        <f>+EECA_data_18!K8</f>
        <v>13.893708932999999</v>
      </c>
      <c r="I54" s="125"/>
      <c r="J54" s="112">
        <f>+EECA_data_15!J8*EECA_data_15!Q8</f>
        <v>0</v>
      </c>
      <c r="K54" s="112">
        <f>EECA_data_18!L8*EECA_data_18!S8</f>
        <v>0</v>
      </c>
      <c r="L54" s="113">
        <v>-1</v>
      </c>
      <c r="M54" s="112">
        <f t="shared" si="5"/>
        <v>0.08</v>
      </c>
      <c r="N54" s="282">
        <f>+N53*0.85</f>
        <v>9.0042372881355942E-2</v>
      </c>
      <c r="O54" s="282">
        <f>+O53*0.85</f>
        <v>8.161621676558109E-2</v>
      </c>
      <c r="P54" s="113">
        <f>+EECA_data_18!M8</f>
        <v>25.285083214393978</v>
      </c>
      <c r="Q54" s="275">
        <f>+EECA_data_18!P8</f>
        <v>1.6192717698146617</v>
      </c>
      <c r="R54" s="113"/>
      <c r="S54" s="113">
        <f>+EECA_data_15!L8*EECA_data_15!Q8</f>
        <v>0</v>
      </c>
      <c r="T54" s="285">
        <f>+EECA_data_18!N8*EECA_data_18!S8</f>
        <v>0</v>
      </c>
      <c r="U54" s="112">
        <v>0</v>
      </c>
      <c r="V54" s="112"/>
      <c r="W54" s="113"/>
      <c r="X54" s="113"/>
      <c r="Y54" s="113"/>
      <c r="Z54" s="113"/>
      <c r="AA54" s="113"/>
      <c r="AB54" s="48"/>
      <c r="AC54" s="50"/>
      <c r="AD54" s="50"/>
      <c r="AE54" s="156"/>
      <c r="AI54" s="252"/>
      <c r="AJ54" s="252"/>
    </row>
    <row r="55" spans="2:39" ht="15.75" customHeight="1">
      <c r="B55" s="406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232">
        <f>+EECA_data_15!H9</f>
        <v>0.30808183498335601</v>
      </c>
      <c r="G55" s="112">
        <f>EECA_data_18!J9</f>
        <v>0.3145699154482855</v>
      </c>
      <c r="H55" s="113">
        <f>+EECA_data_18!K9</f>
        <v>18.893708932999999</v>
      </c>
      <c r="I55" s="125"/>
      <c r="J55" s="112">
        <f>+EECA_data_15!J9*EECA_data_15!Q9</f>
        <v>2.1056000000000002E-2</v>
      </c>
      <c r="K55" s="112">
        <f>EECA_data_18!L9*EECA_data_18!S9</f>
        <v>1.3343948502762024E-2</v>
      </c>
      <c r="L55" s="113">
        <v>-1</v>
      </c>
      <c r="M55" s="112">
        <f t="shared" si="5"/>
        <v>0.08</v>
      </c>
      <c r="N55" s="257">
        <f>+J55/M55/S55</f>
        <v>0.31616982836495033</v>
      </c>
      <c r="O55" s="257">
        <f>+K55/M55/T55</f>
        <v>0.23845860358641741</v>
      </c>
      <c r="P55" s="113">
        <f>+EECA_data_18!M9</f>
        <v>36.679454380806774</v>
      </c>
      <c r="Q55" s="275">
        <f>+EECA_data_18!P9</f>
        <v>1.3836761070950265</v>
      </c>
      <c r="R55" s="113"/>
      <c r="S55" s="113">
        <f>+EECA_data_15!L9*EECA_data_15!Q9</f>
        <v>0.83246399999999998</v>
      </c>
      <c r="T55" s="285">
        <f>+EECA_data_18!N9*EECA_data_18!S9</f>
        <v>0.69948978051478528</v>
      </c>
      <c r="U55" s="112">
        <v>0</v>
      </c>
      <c r="V55" s="112"/>
      <c r="W55" s="113"/>
      <c r="X55" s="113"/>
      <c r="Y55" s="113"/>
      <c r="Z55" s="113"/>
      <c r="AA55" s="113"/>
      <c r="AB55" s="48"/>
      <c r="AC55" s="50"/>
      <c r="AD55" s="50"/>
      <c r="AE55" s="156"/>
      <c r="AI55" s="252"/>
      <c r="AJ55" s="253"/>
    </row>
    <row r="56" spans="2:39" ht="15.75" customHeight="1">
      <c r="B56" s="406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232">
        <f>+EECA_data_15!H10</f>
        <v>0.40881958394081114</v>
      </c>
      <c r="G56" s="112">
        <f>EECA_data_18!J10</f>
        <v>0.40973965605281193</v>
      </c>
      <c r="H56" s="113">
        <f>+EECA_data_18!K10</f>
        <v>18.893708932999999</v>
      </c>
      <c r="I56" s="125"/>
      <c r="J56" s="112">
        <f>+EECA_data_15!J10*EECA_data_15!Q10</f>
        <v>0.20905600000000002</v>
      </c>
      <c r="K56" s="112">
        <f>EECA_data_18!L10*EECA_data_18!S10</f>
        <v>0.3484253220165639</v>
      </c>
      <c r="L56" s="113">
        <v>-1</v>
      </c>
      <c r="M56" s="112">
        <f t="shared" si="5"/>
        <v>0.08</v>
      </c>
      <c r="N56" s="257">
        <f>+J56/M56/S56</f>
        <v>0.24442568755714994</v>
      </c>
      <c r="O56" s="257">
        <f>+K56/M56/T56</f>
        <v>0.18972353970195155</v>
      </c>
      <c r="P56" s="113">
        <f>+EECA_data_18!M10</f>
        <v>38.4943273070229</v>
      </c>
      <c r="Q56" s="275">
        <f>+EECA_data_18!P10</f>
        <v>1.1330287043611558</v>
      </c>
      <c r="R56" s="113"/>
      <c r="S56" s="113">
        <f>+EECA_data_15!L10*EECA_data_15!Q10</f>
        <v>10.691184</v>
      </c>
      <c r="T56" s="285">
        <f>+EECA_data_18!N10*EECA_data_18!S10</f>
        <v>22.956120953936896</v>
      </c>
      <c r="U56" s="112">
        <v>0</v>
      </c>
      <c r="V56" s="112"/>
      <c r="W56" s="113"/>
      <c r="X56" s="113"/>
      <c r="Y56" s="113"/>
      <c r="Z56" s="113"/>
      <c r="AA56" s="113"/>
      <c r="AB56" s="48"/>
      <c r="AC56" s="50"/>
      <c r="AD56" s="50"/>
      <c r="AE56" s="156"/>
      <c r="AI56" s="252"/>
      <c r="AJ56" s="252"/>
    </row>
    <row r="57" spans="2:39" ht="15.75" customHeight="1">
      <c r="B57" s="406"/>
      <c r="C57" s="110" t="str">
        <f t="shared" si="2"/>
        <v>T_P_CPHEVPET15</v>
      </c>
      <c r="D57" s="111"/>
      <c r="E57" s="110" t="str">
        <f t="shared" si="4"/>
        <v>T_P_Car</v>
      </c>
      <c r="F57" s="232"/>
      <c r="G57" s="112"/>
      <c r="H57" s="113">
        <f>+EECA_data_18!K11</f>
        <v>18.893708932999999</v>
      </c>
      <c r="I57" s="125"/>
      <c r="J57" s="112">
        <f>+EECA_data_15!J11*EECA_data_15!Q11</f>
        <v>4.5120000000000004E-3</v>
      </c>
      <c r="K57" s="112">
        <f>EECA_data_18!L11*EECA_data_18!S11</f>
        <v>2.2239914171270039E-2</v>
      </c>
      <c r="L57" s="113">
        <v>-1</v>
      </c>
      <c r="M57" s="112">
        <f t="shared" si="5"/>
        <v>0.08</v>
      </c>
      <c r="N57" s="257">
        <f>+J57/M57/S57</f>
        <v>0.1609442060085837</v>
      </c>
      <c r="O57" s="257">
        <f>+K57/M57/T57</f>
        <v>0.14002830438792696</v>
      </c>
      <c r="P57" s="113">
        <f>+EECA_data_18!M11</f>
        <v>51.909674036494785</v>
      </c>
      <c r="Q57" s="275">
        <f>+EECA_data_18!P11</f>
        <v>1.2151329648648723</v>
      </c>
      <c r="R57" s="113"/>
      <c r="S57" s="113">
        <f>+EECA_data_15!L11*EECA_data_15!Q11</f>
        <v>0.35043200000000002</v>
      </c>
      <c r="T57" s="285">
        <f>+EECA_data_18!N11*EECA_data_18!S11</f>
        <v>1.9853052449362099</v>
      </c>
      <c r="U57" s="112">
        <v>0</v>
      </c>
      <c r="V57" s="112"/>
      <c r="W57" s="113"/>
      <c r="X57" s="113"/>
      <c r="Y57" s="113"/>
      <c r="Z57" s="113"/>
      <c r="AA57" s="113"/>
      <c r="AB57" s="48"/>
      <c r="AC57" s="50"/>
      <c r="AD57" s="50"/>
      <c r="AE57" s="156"/>
    </row>
    <row r="58" spans="2:39" ht="15.75" customHeight="1">
      <c r="B58" s="123"/>
      <c r="C58" s="110"/>
      <c r="D58" s="111" t="s">
        <v>64</v>
      </c>
      <c r="E58" s="110"/>
      <c r="F58" s="232"/>
      <c r="G58" s="112"/>
      <c r="H58" s="113"/>
      <c r="I58" s="125"/>
      <c r="J58" s="112"/>
      <c r="K58" s="112"/>
      <c r="L58" s="113"/>
      <c r="M58" s="113"/>
      <c r="N58" s="257"/>
      <c r="O58" s="257"/>
      <c r="P58" s="113"/>
      <c r="Q58" s="275"/>
      <c r="R58" s="113"/>
      <c r="S58" s="113"/>
      <c r="T58" s="285"/>
      <c r="U58" s="112"/>
      <c r="V58" s="112"/>
      <c r="W58" s="113"/>
      <c r="X58" s="134">
        <f>1-EECA_data_18!R11</f>
        <v>0.4</v>
      </c>
      <c r="Y58" s="113"/>
      <c r="Z58" s="112">
        <f>+F51</f>
        <v>0.28964251024745374</v>
      </c>
      <c r="AA58" s="112">
        <f>+G51</f>
        <v>0.30845918332748123</v>
      </c>
      <c r="AB58" s="48"/>
      <c r="AC58" s="50"/>
      <c r="AD58" s="50"/>
      <c r="AE58" s="156"/>
    </row>
    <row r="59" spans="2:39" ht="15.75" customHeight="1">
      <c r="B59" s="123"/>
      <c r="C59" s="110"/>
      <c r="D59" s="111" t="s">
        <v>56</v>
      </c>
      <c r="E59" s="110"/>
      <c r="F59" s="232"/>
      <c r="G59" s="232"/>
      <c r="H59" s="113"/>
      <c r="I59" s="125"/>
      <c r="J59" s="112"/>
      <c r="K59" s="112"/>
      <c r="L59" s="113"/>
      <c r="M59" s="113"/>
      <c r="N59" s="257"/>
      <c r="O59" s="257"/>
      <c r="P59" s="113"/>
      <c r="Q59" s="275"/>
      <c r="R59" s="113"/>
      <c r="S59" s="113"/>
      <c r="T59" s="285"/>
      <c r="U59" s="112"/>
      <c r="V59" s="112"/>
      <c r="W59" s="113"/>
      <c r="X59" s="134">
        <f>+EECA_data_18!R11</f>
        <v>0.6</v>
      </c>
      <c r="Y59" s="113"/>
      <c r="Z59" s="112">
        <f>+F53</f>
        <v>1.3967093772495132</v>
      </c>
      <c r="AA59" s="112">
        <f>+G53</f>
        <v>1.4079922210878586</v>
      </c>
      <c r="AB59" s="48"/>
      <c r="AE59" s="156"/>
      <c r="AI59" s="254"/>
      <c r="AJ59" s="254"/>
      <c r="AK59" s="254"/>
      <c r="AL59" s="254"/>
      <c r="AM59" s="254"/>
    </row>
    <row r="60" spans="2:39" ht="15.75" customHeight="1">
      <c r="B60" s="406"/>
      <c r="C60" s="114" t="str">
        <f t="shared" ref="C60:C78" si="6">+T16</f>
        <v>T_C_CICEPET15</v>
      </c>
      <c r="D60" s="115" t="str">
        <f t="shared" si="3"/>
        <v>TRAPET</v>
      </c>
      <c r="E60" s="114" t="str">
        <f>+$E$9</f>
        <v>T_C_Car</v>
      </c>
      <c r="F60" s="233">
        <f>+EECA_data_15!H13</f>
        <v>0.22158279949800538</v>
      </c>
      <c r="G60" s="116">
        <f>EECA_data_18!J13</f>
        <v>0.22446549570454616</v>
      </c>
      <c r="H60" s="117">
        <f>+EECA_data_18!K13</f>
        <v>22.051404092999999</v>
      </c>
      <c r="I60" s="284"/>
      <c r="J60" s="116">
        <f>+EECA_data_15!J13*EECA_data_15!Q13</f>
        <v>1.0558319999999999</v>
      </c>
      <c r="K60" s="116">
        <f>EECA_data_18!L13*EECA_data_18!S13</f>
        <v>1.0798734943225032</v>
      </c>
      <c r="L60" s="117">
        <v>-1</v>
      </c>
      <c r="M60" s="116">
        <f>M57</f>
        <v>0.08</v>
      </c>
      <c r="N60" s="258">
        <f>+J60/M60/S60</f>
        <v>0.1290756245320264</v>
      </c>
      <c r="O60" s="258">
        <f>+K60/M60/T60</f>
        <v>0.12412458902591954</v>
      </c>
      <c r="P60" s="117">
        <f>+EECA_data_18!M13</f>
        <v>33.896666666666661</v>
      </c>
      <c r="Q60" s="276">
        <f>+EECA_data_18!P13</f>
        <v>1.3430866666666668</v>
      </c>
      <c r="R60" s="117"/>
      <c r="S60" s="117">
        <f>+EECA_data_15!L13*EECA_data_15!Q13</f>
        <v>102.24936</v>
      </c>
      <c r="T60" s="286">
        <f>+EECA_data_18!N13*EECA_data_18!S13</f>
        <v>108.74894962361219</v>
      </c>
      <c r="U60" s="116"/>
      <c r="V60" s="116">
        <v>0</v>
      </c>
      <c r="W60" s="117"/>
      <c r="X60" s="117"/>
      <c r="Y60" s="117"/>
      <c r="Z60" s="117"/>
      <c r="AA60" s="117"/>
      <c r="AB60" s="48"/>
      <c r="AC60" s="50"/>
      <c r="AD60" s="50"/>
      <c r="AE60" s="156"/>
      <c r="AI60" s="254"/>
      <c r="AJ60" s="254"/>
      <c r="AK60" s="254"/>
      <c r="AL60" s="254"/>
      <c r="AM60" s="254"/>
    </row>
    <row r="61" spans="2:39" ht="15.75" customHeight="1">
      <c r="B61" s="406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233">
        <f>+EECA_data_15!H14</f>
        <v>0.24297541688957527</v>
      </c>
      <c r="G61" s="116">
        <f>EECA_data_18!J14</f>
        <v>0.24232912878138677</v>
      </c>
      <c r="H61" s="117">
        <f>EECA_data_18!K14</f>
        <v>15.784552846</v>
      </c>
      <c r="I61" s="284"/>
      <c r="J61" s="116">
        <f>+EECA_data_15!J14*EECA_data_15!Q14</f>
        <v>3.9887760000000001</v>
      </c>
      <c r="K61" s="116">
        <f>EECA_data_18!L14*EECA_data_18!S14</f>
        <v>5.2659713340785608</v>
      </c>
      <c r="L61" s="117">
        <v>-1</v>
      </c>
      <c r="M61" s="116">
        <f>M60</f>
        <v>0.08</v>
      </c>
      <c r="N61" s="258">
        <f>+J61/M61/S61</f>
        <v>0.20116790411897517</v>
      </c>
      <c r="O61" s="258">
        <f>+K61/M61/T61</f>
        <v>0.20286569808977026</v>
      </c>
      <c r="P61" s="117">
        <f>+EECA_data_18!M14</f>
        <v>50.400339083480681</v>
      </c>
      <c r="Q61" s="276">
        <f>+EECA_data_18!P14</f>
        <v>1.5396112737265695</v>
      </c>
      <c r="R61" s="117"/>
      <c r="S61" s="117">
        <f>+EECA_data_15!L14*EECA_data_15!Q14</f>
        <v>247.85116799999997</v>
      </c>
      <c r="T61" s="286">
        <f>+EECA_data_18!N14*EECA_data_18!S14</f>
        <v>324.47398597102352</v>
      </c>
      <c r="U61" s="116">
        <v>0</v>
      </c>
      <c r="V61" s="116"/>
      <c r="W61" s="117"/>
      <c r="X61" s="117"/>
      <c r="Y61" s="117"/>
      <c r="Z61" s="117"/>
      <c r="AA61" s="117"/>
      <c r="AB61" s="48"/>
      <c r="AC61" s="50"/>
      <c r="AD61" s="50"/>
      <c r="AE61" s="156"/>
      <c r="AI61" s="254"/>
      <c r="AJ61" s="254"/>
      <c r="AK61" s="254"/>
      <c r="AL61" s="254"/>
      <c r="AM61" s="254"/>
    </row>
    <row r="62" spans="2:39" ht="15.75" customHeight="1">
      <c r="B62" s="406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233">
        <f>+EECA_data_15!H15</f>
        <v>1.2845583191999705</v>
      </c>
      <c r="G62" s="116">
        <f>EECA_data_18!J15</f>
        <v>1.3286632211786189</v>
      </c>
      <c r="H62" s="117">
        <f>EECA_data_18!K15</f>
        <v>22.051404092999999</v>
      </c>
      <c r="I62" s="284"/>
      <c r="J62" s="116">
        <f>+EECA_data_15!J15*EECA_data_15!Q15</f>
        <v>6.96E-4</v>
      </c>
      <c r="K62" s="116">
        <f>EECA_data_18!L15*EECA_data_18!S15</f>
        <v>6.3521970254264912E-3</v>
      </c>
      <c r="L62" s="117">
        <v>-1</v>
      </c>
      <c r="M62" s="116">
        <f t="shared" ref="M62:M73" si="8">M61</f>
        <v>0.08</v>
      </c>
      <c r="N62" s="258">
        <f>+J62/M62/S62</f>
        <v>0.52083333333333326</v>
      </c>
      <c r="O62" s="258">
        <f>+K62/M62/T62</f>
        <v>0.14398709875595148</v>
      </c>
      <c r="P62" s="117">
        <f>+EECA_data_18!M15</f>
        <v>70.708695652173915</v>
      </c>
      <c r="Q62" s="276">
        <f>+EECA_data_18!P15</f>
        <v>1.709806221731488</v>
      </c>
      <c r="R62" s="117"/>
      <c r="S62" s="117">
        <f>+EECA_data_15!L15*EECA_data_15!Q15</f>
        <v>1.6704E-2</v>
      </c>
      <c r="T62" s="286">
        <f>+EECA_data_18!N15*EECA_data_18!S15</f>
        <v>0.55145539776735841</v>
      </c>
      <c r="U62" s="116"/>
      <c r="V62" s="116">
        <v>0</v>
      </c>
      <c r="W62" s="117"/>
      <c r="X62" s="117"/>
      <c r="Y62" s="117"/>
      <c r="Z62" s="117"/>
      <c r="AA62" s="117"/>
      <c r="AB62" s="48"/>
      <c r="AC62" s="50"/>
      <c r="AD62" s="50"/>
      <c r="AE62" s="156"/>
      <c r="AI62" s="254"/>
      <c r="AJ62" s="254"/>
      <c r="AK62" s="254"/>
      <c r="AL62" s="254"/>
      <c r="AM62" s="254"/>
    </row>
    <row r="63" spans="2:39" ht="15.75" customHeight="1">
      <c r="B63" s="406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233">
        <f>+EECA_data_15!H16</f>
        <v>0.30808183498335601</v>
      </c>
      <c r="G63" s="116">
        <f>EECA_data_18!J16</f>
        <v>0.3145699154482855</v>
      </c>
      <c r="H63" s="117">
        <f>EECA_data_18!K16</f>
        <v>22.051404092999999</v>
      </c>
      <c r="I63" s="284"/>
      <c r="J63" s="116">
        <f>+EECA_data_15!J16*EECA_data_15!Q16</f>
        <v>2.784E-3</v>
      </c>
      <c r="K63" s="116">
        <f>EECA_data_18!L16*EECA_data_18!S16</f>
        <v>2.8231986779673293E-3</v>
      </c>
      <c r="L63" s="117">
        <v>-1</v>
      </c>
      <c r="M63" s="116">
        <f t="shared" si="8"/>
        <v>0.08</v>
      </c>
      <c r="N63" s="258">
        <f>+J63/M63/S63</f>
        <v>0.17482517482517482</v>
      </c>
      <c r="O63" s="258">
        <f>+K63/M63/T63</f>
        <v>0.1588007368354189</v>
      </c>
      <c r="P63" s="117">
        <f>+EECA_data_18!M16</f>
        <v>36.718867983693947</v>
      </c>
      <c r="Q63" s="276">
        <f>+EECA_data_18!P16</f>
        <v>1.3430866666666668</v>
      </c>
      <c r="R63" s="117"/>
      <c r="S63" s="117">
        <f>+EECA_data_15!L16*EECA_data_15!Q16</f>
        <v>0.19905599999999998</v>
      </c>
      <c r="T63" s="286">
        <f>+EECA_data_18!N16*EECA_data_18!S16</f>
        <v>0.22222808393619833</v>
      </c>
      <c r="U63" s="116"/>
      <c r="V63" s="116">
        <v>0</v>
      </c>
      <c r="W63" s="117"/>
      <c r="X63" s="117"/>
      <c r="Y63" s="117"/>
      <c r="Z63" s="117"/>
      <c r="AA63" s="117"/>
      <c r="AB63" s="48"/>
      <c r="AC63" s="50"/>
      <c r="AD63" s="50"/>
      <c r="AE63" s="156"/>
      <c r="AI63" s="254"/>
      <c r="AJ63" s="254"/>
      <c r="AK63" s="254"/>
      <c r="AL63" s="254"/>
      <c r="AM63" s="254"/>
    </row>
    <row r="64" spans="2:39" ht="15.75" customHeight="1">
      <c r="B64" s="406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233">
        <f>+EECA_data_15!H17</f>
        <v>0.28050534446079667</v>
      </c>
      <c r="G64" s="116">
        <f>EECA_data_18!J17</f>
        <v>0.32080057540766083</v>
      </c>
      <c r="H64" s="117">
        <f>EECA_data_18!K17</f>
        <v>22.051404092999999</v>
      </c>
      <c r="I64" s="284"/>
      <c r="J64" s="283">
        <f>+N64*M64*S64</f>
        <v>2.9202797202797204E-5</v>
      </c>
      <c r="K64" s="283">
        <f>+O64*M64*T64</f>
        <v>9.2265497034503628E-5</v>
      </c>
      <c r="L64" s="117">
        <v>-1</v>
      </c>
      <c r="M64" s="116">
        <f t="shared" si="8"/>
        <v>0.08</v>
      </c>
      <c r="N64" s="282">
        <f>+N63</f>
        <v>0.17482517482517482</v>
      </c>
      <c r="O64" s="282">
        <f>+O63</f>
        <v>0.1588007368354189</v>
      </c>
      <c r="P64" s="117">
        <f>+EECA_data_18!M17</f>
        <v>38.539138979341075</v>
      </c>
      <c r="Q64" s="276">
        <f>+EECA_data_18!P17</f>
        <v>1.0997918790206931</v>
      </c>
      <c r="R64" s="117"/>
      <c r="S64" s="117">
        <f>+EECA_data_15!L17*EECA_data_15!Q17</f>
        <v>2.088E-3</v>
      </c>
      <c r="T64" s="286">
        <f>+EECA_data_18!N17*EECA_data_18!S17</f>
        <v>7.2626785990709541E-3</v>
      </c>
      <c r="U64" s="116"/>
      <c r="V64" s="116">
        <v>0</v>
      </c>
      <c r="W64" s="117"/>
      <c r="X64" s="117"/>
      <c r="Y64" s="117"/>
      <c r="Z64" s="117"/>
      <c r="AA64" s="117"/>
      <c r="AB64" s="48"/>
      <c r="AC64" s="50"/>
      <c r="AD64" s="50"/>
      <c r="AE64" s="156"/>
      <c r="AI64" s="254"/>
      <c r="AJ64" s="254"/>
      <c r="AK64" s="254"/>
      <c r="AL64" s="254"/>
      <c r="AM64" s="254"/>
    </row>
    <row r="65" spans="3:57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52">
        <f>+EECA_data_15!H25</f>
        <v>0.58423954516980703</v>
      </c>
      <c r="G65" s="22">
        <f>+EECA_data_18!J26</f>
        <v>0.58602989312730902</v>
      </c>
      <c r="H65" s="49">
        <f>+EECA_data_18!K26</f>
        <v>12.147264359999999</v>
      </c>
      <c r="I65" s="126"/>
      <c r="J65" s="22">
        <f>+EECA_data_15!J25*EECA_data_15!Q25</f>
        <v>0.29475600000000002</v>
      </c>
      <c r="K65" s="22">
        <f>+EECA_data_18!L26*EECA_data_18!S26</f>
        <v>0.3033338106959716</v>
      </c>
      <c r="L65" s="49">
        <v>-1</v>
      </c>
      <c r="M65" s="22">
        <f t="shared" si="8"/>
        <v>0.08</v>
      </c>
      <c r="N65" s="259">
        <f t="shared" ref="N65:N70" si="10">+J65/M65/S65</f>
        <v>3.2212609570477384E-2</v>
      </c>
      <c r="O65" s="259">
        <f t="shared" ref="O65:O71" si="11">+K65/M65/T65</f>
        <v>3.0114676688831069E-2</v>
      </c>
      <c r="P65" s="49">
        <f>+EECA_data_18!M26</f>
        <v>10</v>
      </c>
      <c r="Q65" s="35">
        <f>+EECA_data_18!P26</f>
        <v>0.5</v>
      </c>
      <c r="R65" s="49"/>
      <c r="S65" s="49">
        <f>+EECA_data_15!L25*EECA_data_15!Q25</f>
        <v>114.379122</v>
      </c>
      <c r="T65" s="127">
        <f>+EECA_data_18!N26*EECA_data_18!S26</f>
        <v>125.90779814368389</v>
      </c>
      <c r="U65" s="22">
        <v>0</v>
      </c>
      <c r="V65" s="22"/>
      <c r="W65" s="49"/>
      <c r="X65" s="49"/>
      <c r="Y65" s="49"/>
      <c r="Z65" s="49"/>
      <c r="AA65" s="49"/>
      <c r="AB65" s="48"/>
      <c r="AC65" s="50"/>
      <c r="AD65" s="50"/>
      <c r="AE65" s="156"/>
      <c r="AI65" s="254"/>
      <c r="AJ65" s="254"/>
      <c r="AK65" s="254"/>
      <c r="AL65" s="254"/>
      <c r="AM65" s="254"/>
    </row>
    <row r="66" spans="3:57" ht="15.75" customHeight="1">
      <c r="C66" s="106" t="str">
        <f t="shared" si="6"/>
        <v>T_P_BICEPET15</v>
      </c>
      <c r="D66" s="107" t="str">
        <f t="shared" ref="D66:D72" si="12">"TRA"&amp;LEFT(RIGHT(C66,5),3)</f>
        <v>TRAPET</v>
      </c>
      <c r="E66" s="106" t="str">
        <f>+$E$11</f>
        <v>T_P_Bus</v>
      </c>
      <c r="F66" s="234">
        <f>+EECA_data_15!H22</f>
        <v>0.10688252747207665</v>
      </c>
      <c r="G66" s="108">
        <f>+EECA_data_18!J23</f>
        <v>0.10878530623606167</v>
      </c>
      <c r="H66" s="109">
        <f>+EECA_data_18!K23</f>
        <v>31</v>
      </c>
      <c r="I66" s="128"/>
      <c r="J66" s="108">
        <f>+EECA_data_15!J22*EECA_data_15!Q22</f>
        <v>6.7600000000000006E-4</v>
      </c>
      <c r="K66" s="108">
        <f>+EECA_data_18!L23*EECA_data_18!S23</f>
        <v>1.3512906258440832E-3</v>
      </c>
      <c r="L66" s="109">
        <v>-1</v>
      </c>
      <c r="M66" s="108">
        <f t="shared" si="8"/>
        <v>0.08</v>
      </c>
      <c r="N66" s="260">
        <f t="shared" si="10"/>
        <v>7.4404761904761904E-2</v>
      </c>
      <c r="O66" s="260">
        <f t="shared" si="11"/>
        <v>0.15835814277570154</v>
      </c>
      <c r="P66" s="109">
        <f>+EECA_data_18!M23</f>
        <v>0</v>
      </c>
      <c r="Q66" s="277">
        <f>+EECA_data_18!P23</f>
        <v>18.74419950494234</v>
      </c>
      <c r="R66" s="109"/>
      <c r="S66" s="109">
        <f>+EECA_data_15!L22*EECA_data_15!Q22</f>
        <v>0.11356800000000002</v>
      </c>
      <c r="T66" s="287">
        <f>+EECA_data_18!N23*EECA_data_18!S23</f>
        <v>0.1066641255510027</v>
      </c>
      <c r="U66" s="118"/>
      <c r="V66" s="118"/>
      <c r="W66" s="109">
        <v>0</v>
      </c>
      <c r="X66" s="109"/>
      <c r="Y66" s="109"/>
      <c r="Z66" s="109"/>
      <c r="AA66" s="109"/>
      <c r="AB66" s="48"/>
      <c r="AC66" s="50"/>
      <c r="AD66" s="50"/>
      <c r="AE66" s="156"/>
      <c r="AI66" s="254"/>
      <c r="AJ66" s="254"/>
      <c r="AK66" s="255"/>
      <c r="AL66" s="255"/>
      <c r="AM66" s="255"/>
      <c r="AN66" s="263"/>
      <c r="AO66" s="263"/>
      <c r="AP66" s="263"/>
    </row>
    <row r="67" spans="3:57" ht="15.75" customHeight="1">
      <c r="C67" s="106" t="str">
        <f t="shared" si="6"/>
        <v>T_P_BICEDSL15</v>
      </c>
      <c r="D67" s="107" t="str">
        <f t="shared" si="12"/>
        <v>TRADSL</v>
      </c>
      <c r="E67" s="106" t="str">
        <f t="shared" ref="E67:E68" si="13">+$E$11</f>
        <v>T_P_Bus</v>
      </c>
      <c r="F67" s="234">
        <f>+EECA_data_15!H23</f>
        <v>7.3140734768071314E-2</v>
      </c>
      <c r="G67" s="108">
        <f>+EECA_data_18!J24</f>
        <v>7.3200547754531456E-2</v>
      </c>
      <c r="H67" s="109">
        <f>+EECA_data_18!K24</f>
        <v>26.248000000000001</v>
      </c>
      <c r="I67" s="128"/>
      <c r="J67" s="108">
        <f>+EECA_data_15!J23*EECA_data_15!Q23</f>
        <v>0.17711200000000002</v>
      </c>
      <c r="K67" s="108">
        <f>+EECA_data_18!L24*EECA_data_18!S24</f>
        <v>0.20674746575414471</v>
      </c>
      <c r="L67" s="109">
        <v>-1</v>
      </c>
      <c r="M67" s="108">
        <f t="shared" si="8"/>
        <v>0.08</v>
      </c>
      <c r="N67" s="260">
        <f t="shared" si="10"/>
        <v>0.35835430572272681</v>
      </c>
      <c r="O67" s="260">
        <f t="shared" si="11"/>
        <v>0.34779177229231606</v>
      </c>
      <c r="P67" s="109">
        <f>+EECA_data_18!M24</f>
        <v>440</v>
      </c>
      <c r="Q67" s="277">
        <f>+EECA_data_18!P24</f>
        <v>18.74419950494234</v>
      </c>
      <c r="R67" s="109"/>
      <c r="S67" s="109">
        <f>+EECA_data_15!L23*EECA_data_15!Q23</f>
        <v>6.1779640000000002</v>
      </c>
      <c r="T67" s="287">
        <f>+EECA_data_18!N24*EECA_data_18!S24</f>
        <v>7.4307201257040951</v>
      </c>
      <c r="U67" s="118"/>
      <c r="V67" s="118"/>
      <c r="W67" s="109">
        <v>0</v>
      </c>
      <c r="X67" s="109"/>
      <c r="Y67" s="109"/>
      <c r="Z67" s="109"/>
      <c r="AA67" s="109"/>
      <c r="AB67" s="48"/>
      <c r="AC67" s="50"/>
      <c r="AD67" s="50"/>
      <c r="AE67" s="156"/>
      <c r="AI67" s="254"/>
      <c r="AJ67" s="254"/>
      <c r="AK67" s="254"/>
      <c r="AL67" s="254"/>
      <c r="AM67" s="254"/>
    </row>
    <row r="68" spans="3:57" ht="15.75" customHeight="1">
      <c r="C68" s="106" t="str">
        <f t="shared" si="6"/>
        <v>T_P_BBEVELC15</v>
      </c>
      <c r="D68" s="107" t="str">
        <f t="shared" si="12"/>
        <v>TRAELC</v>
      </c>
      <c r="E68" s="106" t="str">
        <f t="shared" si="13"/>
        <v>T_P_Bus</v>
      </c>
      <c r="F68" s="234">
        <f>+EECA_data_15!H24</f>
        <v>0.26019798353090839</v>
      </c>
      <c r="G68" s="108">
        <f>+EECA_data_18!J25</f>
        <v>0.26548125081615598</v>
      </c>
      <c r="H68" s="109">
        <f>+EECA_data_18!K25</f>
        <v>30</v>
      </c>
      <c r="I68" s="128"/>
      <c r="J68" s="108">
        <f>+EECA_data_15!J24*EECA_data_15!Q24</f>
        <v>1.3520000000000001E-3</v>
      </c>
      <c r="K68" s="108">
        <f>+EECA_data_18!L25*EECA_data_18!S25</f>
        <v>2.0269359387661248E-3</v>
      </c>
      <c r="L68" s="109">
        <v>-1</v>
      </c>
      <c r="M68" s="108">
        <f t="shared" si="8"/>
        <v>0.08</v>
      </c>
      <c r="N68" s="260">
        <f t="shared" si="10"/>
        <v>0.390625</v>
      </c>
      <c r="O68" s="260">
        <f t="shared" si="11"/>
        <v>0.43322550831792977</v>
      </c>
      <c r="P68" s="109">
        <f>+EECA_data_18!M25</f>
        <v>927.40800000000002</v>
      </c>
      <c r="Q68" s="277">
        <f>+EECA_data_18!P25</f>
        <v>17.224399545082154</v>
      </c>
      <c r="R68" s="281"/>
      <c r="S68" s="109">
        <f>+EECA_data_15!L24*EECA_data_15!Q24</f>
        <v>4.3264000000000004E-2</v>
      </c>
      <c r="T68" s="287">
        <f>+EECA_data_18!N25*EECA_data_18!S25</f>
        <v>5.8483858286531916E-2</v>
      </c>
      <c r="U68" s="118"/>
      <c r="V68" s="118"/>
      <c r="W68" s="109">
        <v>0</v>
      </c>
      <c r="X68" s="109"/>
      <c r="Y68" s="109"/>
      <c r="Z68" s="109"/>
      <c r="AA68" s="109"/>
      <c r="AB68" s="48"/>
      <c r="AC68" s="50"/>
      <c r="AD68" s="50"/>
      <c r="AE68" s="156"/>
    </row>
    <row r="69" spans="3:57" ht="15.75" customHeight="1">
      <c r="C69" s="235" t="str">
        <f t="shared" si="6"/>
        <v>T_F_MTICEPET15</v>
      </c>
      <c r="D69" s="236" t="str">
        <f t="shared" si="12"/>
        <v>TRAPET</v>
      </c>
      <c r="E69" s="235" t="str">
        <f>+$E$12</f>
        <v>T_F_MTrk</v>
      </c>
      <c r="F69" s="237">
        <f>+EECA_data_15!H18</f>
        <v>0.14021476092685786</v>
      </c>
      <c r="G69" s="238">
        <f>EECA_data_18!J18</f>
        <v>0.13638221628825251</v>
      </c>
      <c r="H69" s="240">
        <f>+EECA_data_18!K18</f>
        <v>34.774647887</v>
      </c>
      <c r="I69" s="239"/>
      <c r="J69" s="238">
        <f>+EECA_data_15!J18*EECA_data_15!Q18</f>
        <v>7.7439999999999991E-3</v>
      </c>
      <c r="K69" s="356">
        <f>EECA_data_18!L18*EECA_data_18!S18</f>
        <v>5.3924053833707044E-3</v>
      </c>
      <c r="L69" s="240">
        <v>-1</v>
      </c>
      <c r="M69" s="238">
        <f t="shared" si="8"/>
        <v>0.08</v>
      </c>
      <c r="N69" s="261">
        <f t="shared" si="10"/>
        <v>4.6374367622259688E-2</v>
      </c>
      <c r="O69" s="261">
        <f t="shared" si="11"/>
        <v>3.8272127699999998E-2</v>
      </c>
      <c r="P69" s="240">
        <f>+EECA_data_18!M23</f>
        <v>0</v>
      </c>
      <c r="Q69" s="278">
        <f>+EECA_data_18!P18</f>
        <v>3.8</v>
      </c>
      <c r="R69" s="240"/>
      <c r="S69" s="240">
        <f>+EECA_data_15!L18*EECA_data_15!Q18</f>
        <v>2.0873599999999999</v>
      </c>
      <c r="T69" s="357">
        <f>R44</f>
        <v>1.7612051208779231</v>
      </c>
      <c r="U69" s="241"/>
      <c r="V69" s="241"/>
      <c r="W69" s="240">
        <v>0</v>
      </c>
      <c r="X69" s="240"/>
      <c r="Y69" s="240"/>
      <c r="Z69" s="240"/>
      <c r="AA69" s="240"/>
      <c r="AB69" s="48"/>
      <c r="AC69" s="50">
        <f>K69/G69</f>
        <v>3.9538918857085534E-2</v>
      </c>
      <c r="AD69" s="50"/>
      <c r="AE69" s="358">
        <f>O69*M69*T69</f>
        <v>5.3924053833707053E-3</v>
      </c>
      <c r="AL69" s="263"/>
      <c r="AM69" s="263"/>
      <c r="AN69" s="263"/>
      <c r="AO69" s="263"/>
      <c r="AP69" s="263"/>
    </row>
    <row r="70" spans="3:57" ht="15.75" customHeight="1">
      <c r="C70" s="235" t="str">
        <f t="shared" si="6"/>
        <v>T_F_MTICEDSL15</v>
      </c>
      <c r="D70" s="236" t="str">
        <f t="shared" si="12"/>
        <v>TRADSL</v>
      </c>
      <c r="E70" s="235" t="str">
        <f>+$E$12</f>
        <v>T_F_MTrk</v>
      </c>
      <c r="F70" s="237">
        <f>+EECA_data_15!H19</f>
        <v>0.13479584134353043</v>
      </c>
      <c r="G70" s="238">
        <f>EECA_data_18!J19</f>
        <v>0.13187233674282225</v>
      </c>
      <c r="H70" s="240">
        <f>+EECA_data_18!K19</f>
        <v>21.981385162999999</v>
      </c>
      <c r="I70" s="239"/>
      <c r="J70" s="238">
        <f>+EECA_data_15!J19*EECA_data_15!Q19</f>
        <v>0.57164800000000004</v>
      </c>
      <c r="K70" s="356">
        <f>EECA_data_18!L19*EECA_data_18!S19</f>
        <v>0.58792132098041638</v>
      </c>
      <c r="L70" s="240">
        <v>-1</v>
      </c>
      <c r="M70" s="238">
        <f t="shared" si="8"/>
        <v>0.08</v>
      </c>
      <c r="N70" s="261">
        <f t="shared" si="10"/>
        <v>0.12221406123947938</v>
      </c>
      <c r="O70" s="261">
        <f t="shared" si="11"/>
        <v>0.13188117529235144</v>
      </c>
      <c r="P70" s="240">
        <f>+EECA_data_18!M24</f>
        <v>440</v>
      </c>
      <c r="Q70" s="278">
        <f>+EECA_data_18!P19</f>
        <v>3.8</v>
      </c>
      <c r="R70" s="240"/>
      <c r="S70" s="240">
        <f>+EECA_data_15!L19*EECA_data_15!Q19</f>
        <v>58.467903999999997</v>
      </c>
      <c r="T70" s="357">
        <f>R45</f>
        <v>55.724530024577483</v>
      </c>
      <c r="U70" s="241"/>
      <c r="V70" s="241">
        <v>0</v>
      </c>
      <c r="W70" s="240"/>
      <c r="X70" s="240"/>
      <c r="Y70" s="240"/>
      <c r="Z70" s="240"/>
      <c r="AA70" s="240"/>
      <c r="AB70" s="48"/>
      <c r="AC70" s="50">
        <f>K70/G70</f>
        <v>4.4582611903433698</v>
      </c>
      <c r="AD70" s="50"/>
      <c r="AE70" s="358">
        <f>O70*M70*T70</f>
        <v>0.58792132098041627</v>
      </c>
    </row>
    <row r="71" spans="3:57" ht="15.75" customHeight="1">
      <c r="C71" s="235" t="str">
        <f t="shared" si="6"/>
        <v>T_F_MBEVELC15</v>
      </c>
      <c r="D71" s="236" t="str">
        <f t="shared" si="12"/>
        <v>TRAELC</v>
      </c>
      <c r="E71" s="235" t="str">
        <f>+$E$12</f>
        <v>T_F_MTrk</v>
      </c>
      <c r="F71" s="237">
        <f>+EECA_data_15!H20</f>
        <v>0.4206022071259739</v>
      </c>
      <c r="G71" s="238">
        <f>EECA_data_18!J20</f>
        <v>0.60056169190323494</v>
      </c>
      <c r="H71" s="240">
        <f>+EECA_data_18!K20</f>
        <v>21.981385162999999</v>
      </c>
      <c r="I71" s="239"/>
      <c r="J71" s="283">
        <f>+N71*M71*S71</f>
        <v>5.4998334769230763E-6</v>
      </c>
      <c r="K71" s="356">
        <f>EECA_data_18!L20*EECA_data_18!S20</f>
        <v>2.8618716701346778E-5</v>
      </c>
      <c r="L71" s="240">
        <v>-1</v>
      </c>
      <c r="M71" s="238">
        <f t="shared" si="8"/>
        <v>0.08</v>
      </c>
      <c r="N71" s="282">
        <f>+O71</f>
        <v>1.9530658653846154E-2</v>
      </c>
      <c r="O71" s="261">
        <f t="shared" si="11"/>
        <v>1.9530658653846154E-2</v>
      </c>
      <c r="P71" s="240">
        <f>+EECA_data_18!M25</f>
        <v>927.40800000000002</v>
      </c>
      <c r="Q71" s="278">
        <f>+EECA_data_18!P20</f>
        <v>3.5</v>
      </c>
      <c r="R71" s="240"/>
      <c r="S71" s="240">
        <f>+EECA_data_15!L20*EECA_data_15!Q20</f>
        <v>3.5199999999999997E-3</v>
      </c>
      <c r="T71" s="357">
        <f>+EECA_data_18!N20*EECA_data_18!S20</f>
        <v>1.83165332571304E-2</v>
      </c>
      <c r="U71" s="241"/>
      <c r="V71" s="241">
        <v>0</v>
      </c>
      <c r="W71" s="240"/>
      <c r="X71" s="240"/>
      <c r="Y71" s="240"/>
      <c r="Z71" s="240"/>
      <c r="AA71" s="240"/>
      <c r="AB71" s="48"/>
      <c r="AC71" s="50">
        <f>K71/G71</f>
        <v>4.7653250427364832E-5</v>
      </c>
      <c r="AD71" s="50"/>
      <c r="AE71" s="358">
        <f>O71*M71*T71</f>
        <v>2.8618716701346778E-5</v>
      </c>
    </row>
    <row r="72" spans="3:57" ht="15.75" customHeight="1">
      <c r="C72" s="242" t="str">
        <f t="shared" si="6"/>
        <v>T_F_HTICEDSL15</v>
      </c>
      <c r="D72" s="243" t="str">
        <f t="shared" si="12"/>
        <v>TRADSL</v>
      </c>
      <c r="E72" s="242" t="str">
        <f>E13</f>
        <v>T_F_HTrk</v>
      </c>
      <c r="F72" s="237">
        <f>EECA_data_18!J21</f>
        <v>5.6500000000000002E-2</v>
      </c>
      <c r="G72" s="244">
        <f>F72</f>
        <v>5.6500000000000002E-2</v>
      </c>
      <c r="H72" s="240">
        <f>+EECA_data_18!K21</f>
        <v>21.981385162999999</v>
      </c>
      <c r="I72" s="245"/>
      <c r="J72" s="244"/>
      <c r="K72" s="238">
        <f>EECA_data_18!L21*EECA_data_18!S21</f>
        <v>0.48224059294753358</v>
      </c>
      <c r="L72" s="246">
        <v>-1</v>
      </c>
      <c r="M72" s="244">
        <f t="shared" si="8"/>
        <v>0.08</v>
      </c>
      <c r="N72" s="262">
        <f>+ROUNDUP(J72/M72/S72,3)</f>
        <v>0</v>
      </c>
      <c r="O72" s="262">
        <f>+ROUNDUP(K72/M72/T72,3)</f>
        <v>0.14499999999999999</v>
      </c>
      <c r="P72" s="246">
        <f>+EECA_data_18!M21</f>
        <v>200</v>
      </c>
      <c r="Q72" s="279">
        <f>+EECA_data_18!P21</f>
        <v>16.440000000000001</v>
      </c>
      <c r="R72" s="246"/>
      <c r="S72" s="240">
        <f>EECA_data_18!N21*EECA_data_18!S21</f>
        <v>41.582757385976116</v>
      </c>
      <c r="T72" s="287">
        <f>+EECA_data_18!N21*EECA_data_18!S21</f>
        <v>41.582757385976116</v>
      </c>
      <c r="U72" s="247"/>
      <c r="V72" s="247">
        <v>0</v>
      </c>
      <c r="W72" s="246"/>
      <c r="X72" s="246"/>
      <c r="Y72" s="246"/>
      <c r="Z72" s="246"/>
      <c r="AA72" s="246"/>
      <c r="AB72" s="48"/>
      <c r="AC72" s="50">
        <f>K72/G72</f>
        <v>8.5352317335846646</v>
      </c>
      <c r="AD72" s="50"/>
      <c r="AE72" s="156"/>
      <c r="AK72" s="263"/>
      <c r="AL72" s="263"/>
      <c r="AM72" s="263"/>
      <c r="AN72" s="263"/>
      <c r="AO72" s="263"/>
      <c r="AP72" s="263"/>
    </row>
    <row r="73" spans="3:57" ht="15.75" customHeight="1">
      <c r="C73" s="242" t="str">
        <f t="shared" si="6"/>
        <v>T_F_VHTICEDSL15</v>
      </c>
      <c r="D73" s="243" t="str">
        <f t="shared" ref="D73" si="14">"TRA"&amp;LEFT(RIGHT(C73,5),3)</f>
        <v>TRADSL</v>
      </c>
      <c r="E73" s="242" t="str">
        <f>E14</f>
        <v>T_F_VHTrk</v>
      </c>
      <c r="F73" s="237">
        <f>EECA_data_18!J22</f>
        <v>4.7E-2</v>
      </c>
      <c r="G73" s="244">
        <f>F73</f>
        <v>4.7E-2</v>
      </c>
      <c r="H73" s="240">
        <f>+EECA_data_18!K22</f>
        <v>21.981385162999999</v>
      </c>
      <c r="I73" s="245"/>
      <c r="J73" s="244"/>
      <c r="K73" s="238">
        <f>EECA_data_18!L22*EECA_data_18!S22</f>
        <v>1.0834690860466007</v>
      </c>
      <c r="L73" s="246">
        <v>-1</v>
      </c>
      <c r="M73" s="244">
        <f t="shared" si="8"/>
        <v>0.08</v>
      </c>
      <c r="N73" s="262">
        <f>+ROUNDUP(J73/M73/S73,3)</f>
        <v>0</v>
      </c>
      <c r="O73" s="262">
        <f>+ROUNDUP(K73/M73/T73,3)</f>
        <v>1.4569999999999999</v>
      </c>
      <c r="P73" s="246">
        <v>300</v>
      </c>
      <c r="Q73" s="279">
        <v>18</v>
      </c>
      <c r="R73" s="246"/>
      <c r="S73" s="240">
        <f>EECA_data_18!N22*EECA_data_18!S22</f>
        <v>9.2991630382354327</v>
      </c>
      <c r="T73" s="287">
        <f>+EECA_data_18!N22*EECA_data_18!S22</f>
        <v>9.2991630382354327</v>
      </c>
      <c r="U73" s="247"/>
      <c r="V73" s="247"/>
      <c r="W73" s="246"/>
      <c r="X73" s="246"/>
      <c r="Y73" s="246"/>
      <c r="Z73" s="246"/>
      <c r="AA73" s="246"/>
      <c r="AB73" s="48"/>
      <c r="AC73" s="50">
        <f>K73/G73</f>
        <v>23.052533745672356</v>
      </c>
      <c r="AD73" s="50"/>
      <c r="AE73" s="156"/>
      <c r="AK73" s="263"/>
      <c r="AL73" s="263"/>
      <c r="AM73" s="263"/>
      <c r="AN73" s="263"/>
      <c r="AO73" s="263"/>
      <c r="AP73" s="263"/>
    </row>
    <row r="74" spans="3:57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52"/>
      <c r="G74" s="22">
        <v>1</v>
      </c>
      <c r="H74" s="49">
        <v>60</v>
      </c>
      <c r="I74" s="126"/>
      <c r="J74" s="22">
        <f>+EECA_data_15!O32*EECA_data_15!Q32</f>
        <v>1.9689687768720221</v>
      </c>
      <c r="K74" s="22">
        <f>+EECA_data_18!Q33*EECA_data_18!S33</f>
        <v>1.2158633514498864</v>
      </c>
      <c r="L74" s="49"/>
      <c r="M74" s="22"/>
      <c r="N74" s="46">
        <v>1</v>
      </c>
      <c r="O74" s="46"/>
      <c r="P74" s="22"/>
      <c r="Q74" s="22"/>
      <c r="R74" s="22"/>
      <c r="S74" s="49"/>
      <c r="T74" s="127"/>
      <c r="U74" s="49"/>
      <c r="V74" s="49"/>
      <c r="W74" s="49"/>
      <c r="X74" s="46"/>
      <c r="Y74" s="49"/>
      <c r="Z74" s="49"/>
      <c r="AA74" s="49"/>
      <c r="AC74" s="50"/>
      <c r="AD74" s="50"/>
      <c r="AE74" s="156"/>
    </row>
    <row r="75" spans="3:57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52"/>
      <c r="G75" s="22">
        <v>1</v>
      </c>
      <c r="H75" s="49">
        <v>60</v>
      </c>
      <c r="I75" s="126"/>
      <c r="J75" s="22">
        <f>+EECA_data_15!O33*EECA_data_15!Q33</f>
        <v>10.976480414141575</v>
      </c>
      <c r="K75" s="22">
        <f>+EECA_data_18!Q34*EECA_data_18!S34-3</f>
        <v>7.3898111148674666</v>
      </c>
      <c r="L75" s="22"/>
      <c r="M75" s="22"/>
      <c r="N75" s="46">
        <v>1</v>
      </c>
      <c r="O75" s="46"/>
      <c r="P75" s="22"/>
      <c r="Q75" s="22"/>
      <c r="R75" s="22"/>
      <c r="S75" s="49"/>
      <c r="T75" s="127"/>
      <c r="U75" s="49"/>
      <c r="V75" s="49"/>
      <c r="W75" s="49"/>
      <c r="X75" s="49"/>
      <c r="Y75" s="49"/>
      <c r="Z75" s="49"/>
      <c r="AA75" s="49"/>
      <c r="AC75" s="50">
        <f>SUM(AC72:AC73)</f>
        <v>31.587765479257023</v>
      </c>
      <c r="AD75" s="50"/>
      <c r="AE75" s="156"/>
      <c r="AW75" s="263"/>
      <c r="AX75" s="263"/>
      <c r="AY75" s="263"/>
      <c r="AZ75" s="50"/>
      <c r="BA75" s="50"/>
      <c r="BB75" s="50"/>
      <c r="BC75" s="50"/>
      <c r="BE75" s="50"/>
    </row>
    <row r="76" spans="3:57" ht="15.75" customHeight="1">
      <c r="C76" s="24" t="str">
        <f t="shared" si="6"/>
        <v>T_O_FuelJet</v>
      </c>
      <c r="D76" s="23" t="str">
        <f t="shared" ref="D76" si="15">"TRA"&amp;RIGHT(C76,3)</f>
        <v>TRAJet</v>
      </c>
      <c r="E76" s="24" t="str">
        <f>+E19</f>
        <v>T_O_JET</v>
      </c>
      <c r="F76" s="52"/>
      <c r="G76" s="22">
        <v>1</v>
      </c>
      <c r="H76" s="49">
        <v>60</v>
      </c>
      <c r="I76" s="126"/>
      <c r="J76" s="22">
        <f>+EECA_data_15!O26*EECA_data_15!Q26</f>
        <v>8.1921661410075348</v>
      </c>
      <c r="K76" s="22">
        <f>+EECA_data_18!Q27*EECA_data_18!S27-3</f>
        <v>7.7128814135108907</v>
      </c>
      <c r="L76" s="22"/>
      <c r="M76" s="22"/>
      <c r="N76" s="46">
        <v>1</v>
      </c>
      <c r="O76" s="46"/>
      <c r="P76" s="22"/>
      <c r="Q76" s="22"/>
      <c r="R76" s="22"/>
      <c r="S76" s="49"/>
      <c r="T76" s="127"/>
      <c r="U76" s="49"/>
      <c r="V76" s="49"/>
      <c r="W76" s="49"/>
      <c r="X76" s="49"/>
      <c r="Y76" s="49"/>
      <c r="Z76" s="49"/>
      <c r="AA76" s="49"/>
      <c r="AC76" s="50"/>
      <c r="AD76" s="50"/>
      <c r="AE76" s="156"/>
      <c r="AZ76" s="50"/>
      <c r="BA76" s="50"/>
      <c r="BB76" s="50"/>
      <c r="BC76" s="50"/>
      <c r="BE76" s="50"/>
    </row>
    <row r="77" spans="3:57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52"/>
      <c r="G77" s="22">
        <v>1</v>
      </c>
      <c r="H77" s="49">
        <v>60</v>
      </c>
      <c r="I77" s="126"/>
      <c r="J77" s="22">
        <f>+EECA_data_15!O27*EECA_data_15!Q27</f>
        <v>32.285329782899957</v>
      </c>
      <c r="K77" s="22">
        <f>+EECA_data_18!Q28*EECA_data_18!S28</f>
        <v>45.716103195375645</v>
      </c>
      <c r="L77" s="22"/>
      <c r="M77" s="22"/>
      <c r="N77" s="46">
        <v>1</v>
      </c>
      <c r="O77" s="46"/>
      <c r="P77" s="22"/>
      <c r="Q77" s="22"/>
      <c r="R77" s="22"/>
      <c r="S77" s="49"/>
      <c r="T77" s="127"/>
      <c r="U77" s="49"/>
      <c r="V77" s="49"/>
      <c r="W77" s="49"/>
      <c r="X77" s="49"/>
      <c r="Y77" s="49"/>
      <c r="Z77" s="49"/>
      <c r="AA77" s="49"/>
      <c r="AC77" s="50"/>
      <c r="AD77" s="50"/>
      <c r="AE77" s="156"/>
      <c r="AW77" s="263"/>
      <c r="AX77" s="263"/>
      <c r="AY77" s="263"/>
      <c r="BE77" s="50"/>
    </row>
    <row r="78" spans="3:57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52"/>
      <c r="G78" s="22">
        <v>1</v>
      </c>
      <c r="H78" s="49">
        <v>60</v>
      </c>
      <c r="I78" s="126"/>
      <c r="J78" s="22">
        <f>+EECA_data_15!O28*EECA_data_15!Q28+EECA_data_15!O30*EECA_data_15!Q30</f>
        <v>1.6371604934447999</v>
      </c>
      <c r="K78" s="22">
        <f>+EECA_data_18!Q29*EECA_data_18!S29+EECA_data_18!Q31*EECA_data_18!S31</f>
        <v>1.2306834684153403</v>
      </c>
      <c r="L78" s="22"/>
      <c r="M78" s="22"/>
      <c r="N78" s="46">
        <v>1</v>
      </c>
      <c r="O78" s="46"/>
      <c r="P78" s="22"/>
      <c r="Q78" s="22"/>
      <c r="R78" s="22"/>
      <c r="S78" s="49"/>
      <c r="T78" s="127"/>
      <c r="U78" s="49"/>
      <c r="V78" s="49"/>
      <c r="W78" s="49"/>
      <c r="X78" s="22">
        <v>0.97628074499999995</v>
      </c>
      <c r="Y78" s="49">
        <v>3</v>
      </c>
      <c r="Z78" s="35"/>
      <c r="AA78" s="35"/>
      <c r="AC78" s="50"/>
      <c r="AD78" s="50"/>
      <c r="AE78" s="156"/>
    </row>
    <row r="79" spans="3:57" ht="15.75" customHeight="1">
      <c r="C79" s="24"/>
      <c r="D79" s="24" t="s">
        <v>56</v>
      </c>
      <c r="E79" s="24"/>
      <c r="F79" s="52"/>
      <c r="G79" s="22"/>
      <c r="H79" s="49"/>
      <c r="I79" s="126"/>
      <c r="J79" s="22"/>
      <c r="K79" s="22"/>
      <c r="L79" s="22"/>
      <c r="M79" s="22"/>
      <c r="N79" s="46"/>
      <c r="O79" s="46"/>
      <c r="P79" s="22"/>
      <c r="Q79" s="22"/>
      <c r="R79" s="22"/>
      <c r="S79" s="49"/>
      <c r="T79" s="127"/>
      <c r="U79" s="49"/>
      <c r="V79" s="49"/>
      <c r="W79" s="49"/>
      <c r="X79" s="22">
        <v>2.3719255000000002E-2</v>
      </c>
      <c r="Y79" s="49">
        <v>3</v>
      </c>
      <c r="Z79" s="35"/>
      <c r="AA79" s="35"/>
      <c r="AC79" s="50"/>
      <c r="AD79" s="50"/>
      <c r="AE79" s="156"/>
    </row>
    <row r="80" spans="3:57" ht="15.75" customHeight="1">
      <c r="C80" s="24" t="str">
        <f>+T35</f>
        <v>T_P_Rail15</v>
      </c>
      <c r="D80" s="24" t="str">
        <f>+D68</f>
        <v>TRAELC</v>
      </c>
      <c r="E80" s="24" t="str">
        <f>+E16</f>
        <v>T_P_Rail</v>
      </c>
      <c r="F80" s="52"/>
      <c r="G80" s="22">
        <v>1</v>
      </c>
      <c r="H80" s="49">
        <v>60</v>
      </c>
      <c r="I80" s="126"/>
      <c r="J80" s="22">
        <f>+EECA_data_15!O29*EECA_data_15!Q29+EECA_data_15!O31*EECA_data_15!Q31</f>
        <v>0.22575364800000003</v>
      </c>
      <c r="K80" s="22">
        <f>+EECA_data_18!Q30*EECA_data_18!S30+EECA_data_18!Q32*EECA_data_18!S32</f>
        <v>0.25633805128205128</v>
      </c>
      <c r="L80" s="22"/>
      <c r="M80" s="22"/>
      <c r="N80" s="46">
        <v>1</v>
      </c>
      <c r="O80" s="49"/>
      <c r="P80" s="49"/>
      <c r="Q80" s="49"/>
      <c r="R80" s="49"/>
      <c r="S80" s="49"/>
      <c r="T80" s="127"/>
      <c r="U80" s="49"/>
      <c r="V80" s="49"/>
      <c r="W80" s="49"/>
      <c r="X80" s="22">
        <v>0.61748441499999995</v>
      </c>
      <c r="Y80" s="49">
        <v>3</v>
      </c>
      <c r="Z80" s="35"/>
      <c r="AA80" s="35"/>
      <c r="AC80" s="50"/>
      <c r="AD80" s="50"/>
      <c r="AE80" s="156"/>
      <c r="AL80" s="263"/>
      <c r="AM80" s="263"/>
      <c r="AN80" s="263"/>
      <c r="AO80" s="263"/>
      <c r="AP80" s="263"/>
    </row>
    <row r="81" spans="3:42" ht="15.75" customHeight="1">
      <c r="D81" s="2" t="s">
        <v>65</v>
      </c>
      <c r="X81" s="22">
        <v>0.38251558499999999</v>
      </c>
      <c r="Y81" s="49">
        <v>3</v>
      </c>
      <c r="Z81" s="35"/>
      <c r="AA81" s="35"/>
      <c r="AC81" s="50"/>
    </row>
    <row r="82" spans="3:42" ht="15.75" customHeight="1"/>
    <row r="83" spans="3:42" ht="15.75" customHeight="1">
      <c r="S83" s="2">
        <f>K71/M71</f>
        <v>3.5773395876683469E-4</v>
      </c>
      <c r="AL83" s="263"/>
      <c r="AM83" s="263"/>
      <c r="AO83" s="263"/>
      <c r="AP83" s="263"/>
    </row>
    <row r="84" spans="3:42" ht="15.75" customHeight="1">
      <c r="C84" s="37" t="s">
        <v>155</v>
      </c>
      <c r="D84" s="38"/>
    </row>
    <row r="85" spans="3:42" ht="15.75" customHeight="1">
      <c r="C85" s="39" t="s">
        <v>0</v>
      </c>
      <c r="D85" s="40" t="s">
        <v>326</v>
      </c>
      <c r="E85" s="40" t="s">
        <v>327</v>
      </c>
      <c r="F85" s="40">
        <v>2018</v>
      </c>
      <c r="G85" s="40">
        <v>2021</v>
      </c>
      <c r="H85" s="40">
        <v>2025</v>
      </c>
      <c r="I85" s="40">
        <v>2030</v>
      </c>
      <c r="J85" s="40">
        <v>2035</v>
      </c>
      <c r="K85" s="40">
        <v>2040</v>
      </c>
      <c r="L85" s="40">
        <v>2045</v>
      </c>
      <c r="M85" s="40">
        <v>2050</v>
      </c>
      <c r="N85" s="40">
        <v>2055</v>
      </c>
      <c r="O85" s="40">
        <v>2060</v>
      </c>
    </row>
    <row r="86" spans="3:42" ht="15.75" customHeight="1">
      <c r="C86" s="38" t="str">
        <f t="shared" ref="C86:C91" si="16">+E8</f>
        <v>T_P_Car</v>
      </c>
      <c r="D86" s="47">
        <f t="shared" ref="D86:D98" si="17">+SUMIF($E$51:$E$80,C86,$J$51:$J$80)</f>
        <v>24.526480000000003</v>
      </c>
      <c r="E86" s="256">
        <f>+D86*2/3+F86*1/3</f>
        <v>25.255106970370818</v>
      </c>
      <c r="F86" s="47">
        <f t="shared" ref="F86:F98" si="18">+SUMIF($E$51:$E$80,C86,$K$51:$K$80)</f>
        <v>26.712360911112448</v>
      </c>
      <c r="G86" s="47">
        <f>+Demand_proj!F2</f>
        <v>28.37</v>
      </c>
      <c r="H86" s="47">
        <f>+Demand_proj!G2</f>
        <v>30.96</v>
      </c>
      <c r="I86" s="47">
        <f>+Demand_proj!H2</f>
        <v>34.549999999999997</v>
      </c>
      <c r="J86" s="47">
        <f>+Demand_proj!I2</f>
        <v>37.83</v>
      </c>
      <c r="K86" s="47">
        <f>+Demand_proj!J2</f>
        <v>40.08</v>
      </c>
      <c r="L86" s="47">
        <f>+Demand_proj!K2</f>
        <v>42.65</v>
      </c>
      <c r="M86" s="47">
        <f>+Demand_proj!L2</f>
        <v>45.41</v>
      </c>
      <c r="N86" s="47">
        <f>+Demand_proj!M2</f>
        <v>47.82</v>
      </c>
      <c r="O86" s="47">
        <f>+Demand_proj!N2</f>
        <v>50.05</v>
      </c>
      <c r="AL86" s="263"/>
      <c r="AM86" s="263"/>
      <c r="AO86" s="263"/>
      <c r="AP86" s="263"/>
    </row>
    <row r="87" spans="3:42" ht="15.75" customHeight="1">
      <c r="C87" s="38" t="str">
        <f t="shared" si="16"/>
        <v>T_C_Car</v>
      </c>
      <c r="D87" s="47">
        <f t="shared" si="17"/>
        <v>5.0481172027972026</v>
      </c>
      <c r="E87" s="256">
        <f t="shared" ref="E87:E98" si="19">+D87*2/3+F87*1/3</f>
        <v>5.4837822983986326</v>
      </c>
      <c r="F87" s="47">
        <f t="shared" si="18"/>
        <v>6.3551124896014928</v>
      </c>
      <c r="G87" s="47">
        <f>+Demand_proj!F3</f>
        <v>7.08</v>
      </c>
      <c r="H87" s="47">
        <f>+Demand_proj!G3</f>
        <v>7.94</v>
      </c>
      <c r="I87" s="47">
        <f>+Demand_proj!H3</f>
        <v>9.18</v>
      </c>
      <c r="J87" s="47">
        <f>+Demand_proj!I3</f>
        <v>10.45</v>
      </c>
      <c r="K87" s="47">
        <f>+Demand_proj!J3</f>
        <v>11.56</v>
      </c>
      <c r="L87" s="47">
        <f>+Demand_proj!K3</f>
        <v>12.85</v>
      </c>
      <c r="M87" s="47">
        <f>+Demand_proj!L3</f>
        <v>14.25</v>
      </c>
      <c r="N87" s="47">
        <f>+Demand_proj!M3</f>
        <v>15.58</v>
      </c>
      <c r="O87" s="47">
        <f>+Demand_proj!N3</f>
        <v>16.82</v>
      </c>
    </row>
    <row r="88" spans="3:42" ht="15.75" customHeight="1">
      <c r="C88" s="38" t="str">
        <f t="shared" si="16"/>
        <v>T_P_Mcy</v>
      </c>
      <c r="D88" s="47">
        <f t="shared" si="17"/>
        <v>0.29475600000000002</v>
      </c>
      <c r="E88" s="256">
        <f t="shared" si="19"/>
        <v>0.29761527023199053</v>
      </c>
      <c r="F88" s="47">
        <f t="shared" si="18"/>
        <v>0.3033338106959716</v>
      </c>
      <c r="G88" s="47">
        <f>+Demand_proj!F7</f>
        <v>0.32</v>
      </c>
      <c r="H88" s="47">
        <f>+Demand_proj!G7</f>
        <v>0.34</v>
      </c>
      <c r="I88" s="47">
        <f>+Demand_proj!H7</f>
        <v>0.36</v>
      </c>
      <c r="J88" s="47">
        <f>+Demand_proj!I7</f>
        <v>0.37</v>
      </c>
      <c r="K88" s="47">
        <f>+Demand_proj!J7</f>
        <v>0.36</v>
      </c>
      <c r="L88" s="47">
        <f>+Demand_proj!K7</f>
        <v>0.36</v>
      </c>
      <c r="M88" s="47">
        <f>+Demand_proj!L7</f>
        <v>0.38</v>
      </c>
      <c r="N88" s="47">
        <f>+Demand_proj!M7</f>
        <v>0.38</v>
      </c>
      <c r="O88" s="47">
        <f>+Demand_proj!N7</f>
        <v>0.39</v>
      </c>
    </row>
    <row r="89" spans="3:42" ht="15.75" customHeight="1">
      <c r="C89" s="38" t="str">
        <f t="shared" si="16"/>
        <v>T_P_Bus</v>
      </c>
      <c r="D89" s="47">
        <f t="shared" si="17"/>
        <v>0.17914000000000002</v>
      </c>
      <c r="E89" s="256">
        <f t="shared" si="19"/>
        <v>0.18946856410625165</v>
      </c>
      <c r="F89" s="47">
        <f t="shared" si="18"/>
        <v>0.21012569231875491</v>
      </c>
      <c r="G89" s="47">
        <f>+Demand_proj!F8</f>
        <v>0.24</v>
      </c>
      <c r="H89" s="47">
        <f>+Demand_proj!G8</f>
        <v>0.27</v>
      </c>
      <c r="I89" s="47">
        <f>+Demand_proj!H8</f>
        <v>0.32</v>
      </c>
      <c r="J89" s="47">
        <f>+Demand_proj!I8</f>
        <v>0.37</v>
      </c>
      <c r="K89" s="47">
        <f>+Demand_proj!J8</f>
        <v>0.42</v>
      </c>
      <c r="L89" s="47">
        <f>+Demand_proj!K8</f>
        <v>0.47</v>
      </c>
      <c r="M89" s="47">
        <f>+Demand_proj!L8</f>
        <v>0.52</v>
      </c>
      <c r="N89" s="47">
        <f>+Demand_proj!M8</f>
        <v>0.57999999999999996</v>
      </c>
      <c r="O89" s="47">
        <f>+Demand_proj!N8</f>
        <v>0.63</v>
      </c>
    </row>
    <row r="90" spans="3:42" ht="15.75" customHeight="1">
      <c r="C90" s="38" t="str">
        <f t="shared" si="16"/>
        <v>T_F_MTrk</v>
      </c>
      <c r="D90" s="47">
        <f t="shared" si="17"/>
        <v>0.57939749983347699</v>
      </c>
      <c r="E90" s="256">
        <f t="shared" si="19"/>
        <v>0.58404578158248077</v>
      </c>
      <c r="F90" s="47">
        <f>+SUMIF($E$51:$E$80,C90,$K$51:$K$80)</f>
        <v>0.59334234508048844</v>
      </c>
      <c r="G90" s="47">
        <f>+Demand_proj!F4</f>
        <v>0.64</v>
      </c>
      <c r="H90" s="47">
        <f>+Demand_proj!G4</f>
        <v>0.68</v>
      </c>
      <c r="I90" s="47">
        <f>+Demand_proj!H4</f>
        <v>0.73</v>
      </c>
      <c r="J90" s="47">
        <f>+Demand_proj!I4</f>
        <v>0.77</v>
      </c>
      <c r="K90" s="47">
        <f>+Demand_proj!J4</f>
        <v>0.78</v>
      </c>
      <c r="L90" s="47">
        <f>+Demand_proj!K4</f>
        <v>0.79</v>
      </c>
      <c r="M90" s="47">
        <f>+Demand_proj!L4</f>
        <v>0.81</v>
      </c>
      <c r="N90" s="47">
        <f>+Demand_proj!M4</f>
        <v>0.81</v>
      </c>
      <c r="O90" s="47">
        <f>+Demand_proj!N4</f>
        <v>0.81</v>
      </c>
    </row>
    <row r="91" spans="3:42" ht="15.75" customHeight="1">
      <c r="C91" s="38" t="str">
        <f t="shared" si="16"/>
        <v>T_F_HTrk</v>
      </c>
      <c r="D91" s="47">
        <f t="shared" si="17"/>
        <v>0</v>
      </c>
      <c r="E91" s="256">
        <f t="shared" si="19"/>
        <v>0.16074686431584453</v>
      </c>
      <c r="F91" s="47">
        <f t="shared" si="18"/>
        <v>0.48224059294753358</v>
      </c>
      <c r="G91" s="47">
        <f>+Demand_proj!F5</f>
        <v>0.49302744039586149</v>
      </c>
      <c r="H91" s="47">
        <f>+Demand_proj!G5</f>
        <v>0.52384165542060279</v>
      </c>
      <c r="I91" s="47">
        <f>+Demand_proj!H5</f>
        <v>0.56390013495276659</v>
      </c>
      <c r="J91" s="47">
        <f>+Demand_proj!I5</f>
        <v>0.59163292847503379</v>
      </c>
      <c r="K91" s="47">
        <f>+Demand_proj!J5</f>
        <v>0.60087719298245612</v>
      </c>
      <c r="L91" s="47">
        <f>+Demand_proj!K5</f>
        <v>0.61320287899235271</v>
      </c>
      <c r="M91" s="47">
        <f>+Demand_proj!L5</f>
        <v>0.62244714349977515</v>
      </c>
      <c r="N91" s="47">
        <f>+Demand_proj!M5</f>
        <v>0.62552856500224918</v>
      </c>
      <c r="O91" s="47">
        <f>+Demand_proj!N5</f>
        <v>0.62552856500224918</v>
      </c>
    </row>
    <row r="92" spans="3:42" ht="15.75" customHeight="1">
      <c r="C92" s="38" t="s">
        <v>328</v>
      </c>
      <c r="D92" s="47"/>
      <c r="E92" s="256"/>
      <c r="F92" s="47">
        <f t="shared" si="18"/>
        <v>1.0834690860466007</v>
      </c>
      <c r="G92" s="47">
        <f>+Demand_proj!F6</f>
        <v>1.1069725596041387</v>
      </c>
      <c r="H92" s="47">
        <f>+Demand_proj!G6</f>
        <v>1.1761583445793973</v>
      </c>
      <c r="I92" s="47">
        <f>+Demand_proj!H6</f>
        <v>1.2660998650472337</v>
      </c>
      <c r="J92" s="47">
        <f>+Demand_proj!I6</f>
        <v>1.3283670715249665</v>
      </c>
      <c r="K92" s="47">
        <f>+Demand_proj!J6</f>
        <v>1.3491228070175441</v>
      </c>
      <c r="L92" s="47">
        <f>+Demand_proj!K6</f>
        <v>1.3767971210076475</v>
      </c>
      <c r="M92" s="47">
        <f>+Demand_proj!L6</f>
        <v>1.3975528565002251</v>
      </c>
      <c r="N92" s="47">
        <f>+Demand_proj!M6</f>
        <v>1.4044714349977507</v>
      </c>
      <c r="O92" s="47">
        <f>+Demand_proj!N6</f>
        <v>1.4044714349977507</v>
      </c>
    </row>
    <row r="93" spans="3:42" ht="15.75" customHeight="1">
      <c r="C93" s="38" t="str">
        <f>+E17</f>
        <v>T_F_DSHIP</v>
      </c>
      <c r="D93" s="47">
        <f t="shared" si="17"/>
        <v>1.9689687768720221</v>
      </c>
      <c r="E93" s="256">
        <f t="shared" si="19"/>
        <v>1.7179336350646437</v>
      </c>
      <c r="F93" s="47">
        <f t="shared" si="18"/>
        <v>1.2158633514498864</v>
      </c>
      <c r="G93" s="47">
        <f>+Demand_proj!F9</f>
        <v>1.23</v>
      </c>
      <c r="H93" s="47">
        <f>+Demand_proj!G9</f>
        <v>1.29</v>
      </c>
      <c r="I93" s="47">
        <f>+Demand_proj!H9</f>
        <v>1.39</v>
      </c>
      <c r="J93" s="47">
        <f>+Demand_proj!I9</f>
        <v>1.49</v>
      </c>
      <c r="K93" s="47">
        <f>+Demand_proj!J9</f>
        <v>1.59</v>
      </c>
      <c r="L93" s="47">
        <f>+Demand_proj!K9</f>
        <v>1.68</v>
      </c>
      <c r="M93" s="47">
        <f>+Demand_proj!L9</f>
        <v>1.75</v>
      </c>
      <c r="N93" s="47">
        <f>+Demand_proj!M9</f>
        <v>1.82</v>
      </c>
      <c r="O93" s="47">
        <f>+Demand_proj!N9</f>
        <v>1.89</v>
      </c>
    </row>
    <row r="94" spans="3:42" ht="15.75" customHeight="1">
      <c r="C94" s="38" t="str">
        <f>+E18</f>
        <v>T_F_ISHIP</v>
      </c>
      <c r="D94" s="47">
        <f t="shared" si="17"/>
        <v>10.976480414141575</v>
      </c>
      <c r="E94" s="256">
        <f t="shared" si="19"/>
        <v>9.7809239810502042</v>
      </c>
      <c r="F94" s="47">
        <f t="shared" si="18"/>
        <v>7.3898111148674666</v>
      </c>
      <c r="G94" s="47">
        <f>+Demand_proj!F10</f>
        <v>9.76</v>
      </c>
      <c r="H94" s="47">
        <f>+Demand_proj!G10</f>
        <v>10.68</v>
      </c>
      <c r="I94" s="47">
        <f>+Demand_proj!H10</f>
        <v>12.03</v>
      </c>
      <c r="J94" s="47">
        <f>+Demand_proj!I10</f>
        <v>13.76</v>
      </c>
      <c r="K94" s="47">
        <f>+Demand_proj!J10</f>
        <v>14.85</v>
      </c>
      <c r="L94" s="47">
        <f>+Demand_proj!K10</f>
        <v>15.95</v>
      </c>
      <c r="M94" s="47">
        <f>+Demand_proj!L10</f>
        <v>16.8</v>
      </c>
      <c r="N94" s="47">
        <f>+Demand_proj!M10</f>
        <v>17.690000000000001</v>
      </c>
      <c r="O94" s="47">
        <f>+Demand_proj!N10</f>
        <v>18.63</v>
      </c>
      <c r="AD94" s="263"/>
    </row>
    <row r="95" spans="3:42" ht="15.75" customHeight="1">
      <c r="C95" s="38" t="str">
        <f>+E19</f>
        <v>T_O_JET</v>
      </c>
      <c r="D95" s="47">
        <f t="shared" si="17"/>
        <v>8.1921661410075348</v>
      </c>
      <c r="E95" s="256">
        <f t="shared" si="19"/>
        <v>8.0324045651753195</v>
      </c>
      <c r="F95" s="47">
        <f t="shared" si="18"/>
        <v>7.7128814135108907</v>
      </c>
      <c r="G95" s="47">
        <f>+Demand_proj!F11</f>
        <v>11.6</v>
      </c>
      <c r="H95" s="47">
        <f>+Demand_proj!G11</f>
        <v>13.23</v>
      </c>
      <c r="I95" s="47">
        <f>+Demand_proj!H11</f>
        <v>15.55</v>
      </c>
      <c r="J95" s="47">
        <f>+Demand_proj!I11</f>
        <v>18.12</v>
      </c>
      <c r="K95" s="47">
        <f>+Demand_proj!J11</f>
        <v>19.97</v>
      </c>
      <c r="L95" s="47">
        <f>+Demand_proj!K11</f>
        <v>22.05</v>
      </c>
      <c r="M95" s="47">
        <f>+Demand_proj!L11</f>
        <v>24.35</v>
      </c>
      <c r="N95" s="47">
        <f>+Demand_proj!M11</f>
        <v>25.42</v>
      </c>
      <c r="O95" s="47">
        <f>+Demand_proj!N11</f>
        <v>26.53</v>
      </c>
    </row>
    <row r="96" spans="3:42" ht="15.75" customHeight="1">
      <c r="C96" s="38" t="str">
        <f>+E20</f>
        <v>T_O_JET_Int</v>
      </c>
      <c r="D96" s="47">
        <f t="shared" si="17"/>
        <v>32.285329782899957</v>
      </c>
      <c r="E96" s="256">
        <f t="shared" si="19"/>
        <v>36.762254253725189</v>
      </c>
      <c r="F96" s="47">
        <f t="shared" si="18"/>
        <v>45.716103195375645</v>
      </c>
      <c r="G96" s="47">
        <f>+Demand_proj!F12</f>
        <v>49.43</v>
      </c>
      <c r="H96" s="47">
        <f>+Demand_proj!G12</f>
        <v>56.09</v>
      </c>
      <c r="I96" s="47">
        <f>+Demand_proj!H12</f>
        <v>66.39</v>
      </c>
      <c r="J96" s="47">
        <f>+Demand_proj!I12</f>
        <v>78.2</v>
      </c>
      <c r="K96" s="47">
        <f>+Demand_proj!J12</f>
        <v>86.85</v>
      </c>
      <c r="L96" s="47">
        <f>+Demand_proj!K12</f>
        <v>96.66</v>
      </c>
      <c r="M96" s="47">
        <f>+Demand_proj!L12</f>
        <v>107.57</v>
      </c>
      <c r="N96" s="47">
        <f>+Demand_proj!M12</f>
        <v>112.82</v>
      </c>
      <c r="O96" s="47">
        <f>+Demand_proj!N12</f>
        <v>118.33</v>
      </c>
      <c r="AD96" s="263"/>
    </row>
    <row r="97" spans="3:31" ht="15.75" customHeight="1">
      <c r="C97" s="38" t="str">
        <f>+E78</f>
        <v>T_F_Rail</v>
      </c>
      <c r="D97" s="47">
        <f t="shared" si="17"/>
        <v>1.6371604934447999</v>
      </c>
      <c r="E97" s="256">
        <f t="shared" si="19"/>
        <v>1.5016681517683135</v>
      </c>
      <c r="F97" s="47">
        <f t="shared" si="18"/>
        <v>1.2306834684153403</v>
      </c>
      <c r="G97" s="47">
        <f>+Demand_proj!F13</f>
        <v>1.25</v>
      </c>
      <c r="H97" s="47">
        <f>+Demand_proj!G13</f>
        <v>1.32</v>
      </c>
      <c r="I97" s="47">
        <f>+Demand_proj!H13</f>
        <v>1.4</v>
      </c>
      <c r="J97" s="47">
        <f>+Demand_proj!I13</f>
        <v>1.46</v>
      </c>
      <c r="K97" s="47">
        <f>+Demand_proj!J13</f>
        <v>1.5</v>
      </c>
      <c r="L97" s="47">
        <f>+Demand_proj!K13</f>
        <v>1.54</v>
      </c>
      <c r="M97" s="47">
        <f>+Demand_proj!L13</f>
        <v>1.59</v>
      </c>
      <c r="N97" s="47">
        <f>+Demand_proj!M13</f>
        <v>1.63</v>
      </c>
      <c r="O97" s="47">
        <f>+Demand_proj!N13</f>
        <v>1.68</v>
      </c>
    </row>
    <row r="98" spans="3:31" ht="15.75" customHeight="1">
      <c r="C98" s="38" t="str">
        <f>+E80</f>
        <v>T_P_Rail</v>
      </c>
      <c r="D98" s="47">
        <f t="shared" si="17"/>
        <v>0.22575364800000003</v>
      </c>
      <c r="E98" s="256">
        <f t="shared" si="19"/>
        <v>0.23594844909401713</v>
      </c>
      <c r="F98" s="47">
        <f t="shared" si="18"/>
        <v>0.25633805128205128</v>
      </c>
      <c r="G98" s="47">
        <f>+Demand_proj!F14</f>
        <v>0.43</v>
      </c>
      <c r="H98" s="47">
        <f>+Demand_proj!G14</f>
        <v>0.63</v>
      </c>
      <c r="I98" s="47">
        <f>+Demand_proj!H14</f>
        <v>0.91</v>
      </c>
      <c r="J98" s="47">
        <f>+Demand_proj!I14</f>
        <v>1.1000000000000001</v>
      </c>
      <c r="K98" s="47">
        <f>+Demand_proj!J14</f>
        <v>1.21</v>
      </c>
      <c r="L98" s="47">
        <f>+Demand_proj!K14</f>
        <v>1.32</v>
      </c>
      <c r="M98" s="47">
        <f>+Demand_proj!L14</f>
        <v>1.45</v>
      </c>
      <c r="N98" s="47">
        <f>+Demand_proj!M14</f>
        <v>1.59</v>
      </c>
      <c r="O98" s="47">
        <f>+Demand_proj!N14</f>
        <v>1.73</v>
      </c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263"/>
    </row>
    <row r="100" spans="3:31" ht="15.75" customHeight="1">
      <c r="C100" s="38"/>
      <c r="D100" s="47"/>
    </row>
    <row r="101" spans="3:31" ht="15.75" customHeight="1">
      <c r="AE101" s="263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274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2023-12-18T20:40:40Z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