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Users\suleimenov_b\switchdrive\Workingversionmodel\NZ_TIMES-v65\NZ_TIMES_model-v65\"/>
    </mc:Choice>
  </mc:AlternateContent>
  <bookViews>
    <workbookView xWindow="9555" yWindow="45" windowWidth="9600" windowHeight="10950" tabRatio="732" activeTab="6"/>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U49" i="137" l="1"/>
  <c r="U46" i="137" l="1"/>
  <c r="L26" i="136" l="1"/>
  <c r="G44" i="161" l="1"/>
  <c r="AG43" i="161"/>
  <c r="J68" i="161"/>
  <c r="P24" i="161" l="1"/>
  <c r="P23" i="161"/>
  <c r="U26" i="136" l="1"/>
  <c r="F42" i="160" l="1"/>
  <c r="F41" i="160"/>
  <c r="F57" i="160" l="1"/>
  <c r="D31" i="160"/>
  <c r="D24" i="160"/>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U52" i="137" l="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M26" i="136"/>
  <c r="F15" i="158" l="1"/>
  <c r="E15" i="158"/>
  <c r="AD30" i="158"/>
  <c r="E27" i="158"/>
  <c r="F30" i="158" s="1"/>
  <c r="D30" i="158"/>
  <c r="E18" i="158"/>
  <c r="C30" i="158" s="1"/>
  <c r="H27" i="158"/>
  <c r="G27" i="158"/>
  <c r="N26" i="136" l="1"/>
  <c r="X73" i="160" l="1"/>
  <c r="W73" i="160"/>
  <c r="V73" i="160"/>
  <c r="U73" i="160"/>
  <c r="T73" i="160"/>
  <c r="S73" i="160"/>
  <c r="X72" i="160"/>
  <c r="W72" i="160"/>
  <c r="V72" i="160"/>
  <c r="U72" i="160"/>
  <c r="T72" i="160"/>
  <c r="S72" i="160"/>
  <c r="X71" i="160"/>
  <c r="W71" i="160"/>
  <c r="V71" i="160"/>
  <c r="U71" i="160"/>
  <c r="T71" i="160"/>
  <c r="S71" i="160"/>
  <c r="X70" i="160"/>
  <c r="W70" i="160"/>
  <c r="V70" i="160"/>
  <c r="U70" i="160"/>
  <c r="T70" i="160"/>
  <c r="S70" i="160"/>
  <c r="X66" i="160"/>
  <c r="W66" i="160"/>
  <c r="V66" i="160"/>
  <c r="U66" i="160"/>
  <c r="T66" i="160"/>
  <c r="S66" i="160"/>
  <c r="X65" i="160"/>
  <c r="W65" i="160"/>
  <c r="V65" i="160"/>
  <c r="U65" i="160"/>
  <c r="T65" i="160"/>
  <c r="S65" i="160"/>
  <c r="X64" i="160"/>
  <c r="W64" i="160"/>
  <c r="V64" i="160"/>
  <c r="U64" i="160"/>
  <c r="T64" i="160"/>
  <c r="S64" i="160"/>
  <c r="X63" i="160"/>
  <c r="W63" i="160"/>
  <c r="V63" i="160"/>
  <c r="U63" i="160"/>
  <c r="T63" i="160"/>
  <c r="S63" i="160"/>
  <c r="Y54" i="160"/>
  <c r="Y53" i="160"/>
  <c r="AA46" i="160"/>
  <c r="Z45" i="160"/>
  <c r="AA47" i="160" s="1"/>
  <c r="Y37" i="160"/>
  <c r="Y40" i="160" s="1"/>
  <c r="Y28" i="160"/>
  <c r="Y31" i="160" s="1"/>
  <c r="Y20" i="160"/>
  <c r="Y23" i="160" s="1"/>
  <c r="Y30" i="160" l="1"/>
  <c r="Y55" i="160"/>
  <c r="Y58" i="160" s="1"/>
  <c r="Y50" i="160"/>
  <c r="Y49" i="160"/>
  <c r="Y39" i="160"/>
  <c r="Y22" i="160"/>
  <c r="Y57" i="160" l="1"/>
  <c r="J63" i="158" l="1"/>
  <c r="I63" i="158"/>
  <c r="H63" i="158"/>
  <c r="G63" i="158"/>
  <c r="M6" i="137" l="1"/>
  <c r="O55" i="137"/>
  <c r="P55" i="137"/>
  <c r="Q55" i="137"/>
  <c r="R55" i="137"/>
  <c r="S55" i="137"/>
  <c r="T55" i="137"/>
  <c r="N55"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4" i="160" l="1"/>
  <c r="B74" i="160"/>
  <c r="G43" i="160"/>
  <c r="F43" i="160"/>
  <c r="F32" i="160"/>
  <c r="G32" i="160"/>
  <c r="F28" i="160"/>
  <c r="G28" i="160"/>
  <c r="F24" i="160"/>
  <c r="G24" i="160"/>
  <c r="F25" i="160"/>
  <c r="G25" i="160"/>
  <c r="F26" i="160"/>
  <c r="G26" i="160"/>
  <c r="B24" i="160"/>
  <c r="B25" i="160"/>
  <c r="B26" i="160"/>
  <c r="R21" i="160"/>
  <c r="V26" i="136"/>
  <c r="W26" i="136"/>
  <c r="O26" i="136"/>
  <c r="P26" i="136" s="1"/>
  <c r="Q26" i="136" s="1"/>
  <c r="R26" i="136" s="1"/>
  <c r="S26" i="136" s="1"/>
  <c r="T26" i="136" s="1"/>
  <c r="N27" i="136"/>
  <c r="O27" i="136" s="1"/>
  <c r="P27" i="136" s="1"/>
  <c r="Q27" i="136" s="1"/>
  <c r="R27" i="136" s="1"/>
  <c r="S27" i="136" s="1"/>
  <c r="T27" i="136" s="1"/>
  <c r="N28" i="136"/>
  <c r="O28" i="136" s="1"/>
  <c r="P28" i="136" s="1"/>
  <c r="Q28" i="136" s="1"/>
  <c r="R28" i="136" s="1"/>
  <c r="S28" i="136" s="1"/>
  <c r="T28" i="136" s="1"/>
  <c r="N29" i="136"/>
  <c r="O29" i="136" s="1"/>
  <c r="P29" i="136" s="1"/>
  <c r="Q29" i="136" s="1"/>
  <c r="R29" i="136" s="1"/>
  <c r="S29" i="136" s="1"/>
  <c r="T29" i="136" s="1"/>
  <c r="L29" i="136"/>
  <c r="L28" i="136"/>
  <c r="L27" i="136"/>
  <c r="N33" i="132" l="1"/>
  <c r="P29" i="158" l="1"/>
  <c r="W29" i="158" s="1"/>
  <c r="D29" i="158"/>
  <c r="C29" i="158"/>
  <c r="W24" i="158"/>
  <c r="F36" i="132" l="1"/>
  <c r="F35" i="132"/>
  <c r="G34" i="132" s="1"/>
  <c r="B27" i="160" l="1"/>
  <c r="B28" i="160" s="1"/>
  <c r="B29" i="160"/>
  <c r="B30" i="160"/>
  <c r="B31" i="160"/>
  <c r="B32" i="160" s="1"/>
  <c r="AJ73" i="160" l="1"/>
  <c r="F73" i="160" l="1"/>
  <c r="G73" i="160"/>
  <c r="H73" i="160"/>
  <c r="I73" i="160"/>
  <c r="J73" i="160"/>
  <c r="E73" i="160"/>
  <c r="C73" i="160"/>
  <c r="F37" i="160"/>
  <c r="F38" i="160"/>
  <c r="F39" i="160"/>
  <c r="F40" i="160"/>
  <c r="C72" i="160"/>
  <c r="C71" i="160"/>
  <c r="D39" i="160"/>
  <c r="D40" i="160"/>
  <c r="D38" i="160"/>
  <c r="C65" i="160"/>
  <c r="C64" i="160"/>
  <c r="C63" i="160"/>
  <c r="F33" i="160"/>
  <c r="F34" i="160"/>
  <c r="F35" i="160"/>
  <c r="F36" i="160"/>
  <c r="E34" i="160"/>
  <c r="E35" i="160"/>
  <c r="E36" i="160"/>
  <c r="E33" i="160"/>
  <c r="D34" i="160"/>
  <c r="B65" i="160" s="1"/>
  <c r="D35" i="160"/>
  <c r="D36" i="160"/>
  <c r="B63" i="160" s="1"/>
  <c r="D33" i="160"/>
  <c r="B64"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0" i="160" l="1"/>
  <c r="C74" i="160" s="1"/>
  <c r="R37" i="160"/>
  <c r="N38" i="136" l="1"/>
  <c r="K38" i="136"/>
  <c r="J38" i="136"/>
  <c r="I38" i="136"/>
  <c r="L7" i="137" l="1"/>
  <c r="L8" i="137"/>
  <c r="L9" i="137"/>
  <c r="L10" i="137"/>
  <c r="L11" i="137"/>
  <c r="L12" i="137"/>
  <c r="C38" i="147" l="1"/>
  <c r="C36" i="147"/>
  <c r="C37" i="147" s="1"/>
  <c r="C35" i="147"/>
  <c r="C34" i="147"/>
  <c r="C31" i="147"/>
  <c r="C33" i="147" s="1"/>
  <c r="C26" i="147"/>
  <c r="Q12" i="147" s="1"/>
  <c r="I32" i="136"/>
  <c r="L12" i="147" l="1"/>
  <c r="U48" i="137" s="1"/>
  <c r="V48"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4" i="137"/>
  <c r="V52" i="137"/>
  <c r="V49" i="137"/>
  <c r="V47" i="137"/>
  <c r="U56" i="137" l="1"/>
  <c r="U54" i="137"/>
  <c r="U53" i="137"/>
  <c r="V53" i="137" s="1"/>
  <c r="U51" i="137"/>
  <c r="V51" i="137" s="1"/>
  <c r="U50" i="137"/>
  <c r="V50" i="137" s="1"/>
  <c r="U47" i="137"/>
  <c r="L47" i="137" s="1"/>
  <c r="U55" i="137"/>
  <c r="N38" i="132"/>
  <c r="N35" i="132"/>
  <c r="N34" i="132"/>
  <c r="V46" i="137" l="1"/>
  <c r="L46" i="137" s="1"/>
  <c r="F16" i="158"/>
  <c r="E16" i="158"/>
  <c r="F14" i="158" l="1"/>
  <c r="F13" i="158"/>
  <c r="E14" i="158"/>
  <c r="E13" i="158"/>
  <c r="H37" i="132" l="1"/>
  <c r="I37" i="132"/>
  <c r="J37" i="132"/>
  <c r="K37" i="132"/>
  <c r="L37" i="132"/>
  <c r="M37" i="132"/>
  <c r="H38" i="132"/>
  <c r="I38" i="132"/>
  <c r="J38" i="132"/>
  <c r="K38" i="132"/>
  <c r="L38" i="132"/>
  <c r="M38" i="132"/>
  <c r="G38" i="132"/>
  <c r="G37" i="132"/>
  <c r="H34" i="132"/>
  <c r="I34" i="132"/>
  <c r="J34" i="132"/>
  <c r="K34" i="132"/>
  <c r="L34" i="132"/>
  <c r="M34" i="132"/>
  <c r="H33" i="132"/>
  <c r="I33" i="132"/>
  <c r="J33" i="132"/>
  <c r="K33" i="132"/>
  <c r="L33" i="132"/>
  <c r="M33" i="132"/>
  <c r="G33" i="132"/>
  <c r="H36" i="132"/>
  <c r="I36" i="132"/>
  <c r="J36" i="132"/>
  <c r="K36" i="132"/>
  <c r="L36" i="132"/>
  <c r="M36" i="132"/>
  <c r="G36" i="132"/>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3" i="136"/>
  <c r="N13" i="136"/>
  <c r="M14" i="136"/>
  <c r="N14" i="136"/>
  <c r="M15" i="136"/>
  <c r="N15" i="136"/>
  <c r="M18" i="136"/>
  <c r="N18" i="136"/>
  <c r="M29" i="137"/>
  <c r="V45" i="137"/>
  <c r="L9" i="142"/>
  <c r="L23" i="142"/>
  <c r="L12" i="142"/>
  <c r="M23" i="142"/>
  <c r="L10" i="142"/>
  <c r="F10" i="132"/>
  <c r="M22" i="142"/>
  <c r="L22" i="142"/>
  <c r="L11" i="142"/>
  <c r="N23" i="137"/>
  <c r="M34" i="137"/>
  <c r="N32" i="137"/>
  <c r="M21" i="137"/>
  <c r="N31" i="137"/>
  <c r="M31" i="137"/>
  <c r="N24" i="137"/>
  <c r="M24" i="137"/>
  <c r="M23" i="137"/>
  <c r="N30" i="137"/>
  <c r="M26" i="137"/>
  <c r="M30" i="137"/>
  <c r="N34" i="137"/>
  <c r="N21" i="137"/>
  <c r="M32" i="137"/>
  <c r="N26" i="137"/>
  <c r="N20" i="137"/>
  <c r="N25" i="137"/>
  <c r="N29" i="137"/>
  <c r="N22" i="137"/>
  <c r="M22" i="137"/>
  <c r="N33" i="137"/>
  <c r="M33"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7" i="136"/>
  <c r="M12" i="136"/>
  <c r="G17" i="132"/>
  <c r="F32" i="132"/>
  <c r="I19" i="137"/>
  <c r="I12" i="136"/>
  <c r="I13" i="136" s="1"/>
  <c r="I14" i="136" s="1"/>
  <c r="I15" i="136" s="1"/>
  <c r="B16" i="132"/>
  <c r="D17" i="132" s="1"/>
  <c r="C2" i="137"/>
  <c r="I28" i="137"/>
  <c r="I21" i="137"/>
  <c r="K27" i="137" s="1"/>
  <c r="I54" i="137" s="1"/>
  <c r="K5" i="136"/>
  <c r="I17" i="136"/>
  <c r="I18" i="136" s="1"/>
  <c r="I16" i="136"/>
  <c r="K16" i="136" s="1"/>
  <c r="I30" i="136" s="1"/>
  <c r="B20" i="132"/>
  <c r="B18" i="132"/>
  <c r="D19" i="132" s="1"/>
  <c r="B36" i="132" s="1"/>
  <c r="D9" i="132"/>
  <c r="N32" i="132"/>
  <c r="E32" i="132"/>
  <c r="G20" i="132"/>
  <c r="G18" i="132"/>
  <c r="F16" i="132"/>
  <c r="F18" i="132"/>
  <c r="G16" i="132"/>
  <c r="N12" i="136"/>
  <c r="N17" i="136"/>
  <c r="M5" i="136"/>
  <c r="N16" i="136"/>
  <c r="M8" i="133" l="1"/>
  <c r="E14" i="133"/>
  <c r="G8" i="133"/>
  <c r="U8" i="133"/>
  <c r="S14" i="133"/>
  <c r="L14" i="133"/>
  <c r="E8" i="133"/>
  <c r="I14" i="133"/>
  <c r="O14" i="133"/>
  <c r="L8" i="133"/>
  <c r="T14" i="133"/>
  <c r="J19" i="142"/>
  <c r="J22" i="142"/>
  <c r="M20" i="142"/>
  <c r="L20" i="142"/>
  <c r="L6" i="142"/>
  <c r="L19" i="142"/>
  <c r="L8" i="142"/>
  <c r="K29" i="137"/>
  <c r="I56" i="137" s="1"/>
  <c r="K30" i="137"/>
  <c r="I57" i="137" s="1"/>
  <c r="K31" i="137"/>
  <c r="I58" i="137" s="1"/>
  <c r="K32" i="137"/>
  <c r="I59" i="137" s="1"/>
  <c r="K33" i="137"/>
  <c r="I60" i="137" s="1"/>
  <c r="K34" i="137"/>
  <c r="I61" i="137" s="1"/>
  <c r="K28" i="137"/>
  <c r="I55" i="137" s="1"/>
  <c r="K22" i="137"/>
  <c r="I49" i="137" s="1"/>
  <c r="K25" i="137"/>
  <c r="I52" i="137" s="1"/>
  <c r="K21" i="137"/>
  <c r="I48" i="137" s="1"/>
  <c r="K23" i="137"/>
  <c r="I50" i="137" s="1"/>
  <c r="K24" i="137"/>
  <c r="I51" i="137" s="1"/>
  <c r="K26" i="137"/>
  <c r="I53" i="137" s="1"/>
  <c r="K19" i="137"/>
  <c r="I46" i="137" s="1"/>
  <c r="K20" i="137"/>
  <c r="I47"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7" i="136"/>
  <c r="S8" i="133"/>
  <c r="H14" i="133"/>
  <c r="N14" i="133"/>
  <c r="D14" i="133"/>
  <c r="V11" i="133"/>
  <c r="L7" i="142"/>
  <c r="L18" i="142"/>
  <c r="N19" i="137"/>
  <c r="V6" i="133"/>
  <c r="N28" i="137"/>
  <c r="M21" i="142"/>
  <c r="M16" i="136"/>
  <c r="F14" i="133"/>
  <c r="L5" i="142"/>
  <c r="B34" i="132"/>
  <c r="G14" i="133"/>
  <c r="M18" i="142"/>
  <c r="F9" i="132"/>
  <c r="G19" i="132"/>
  <c r="F19" i="132"/>
  <c r="M28" i="137"/>
  <c r="U45"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9"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6" authorId="3" shapeId="0">
      <text>
        <r>
          <rPr>
            <b/>
            <sz val="9"/>
            <color indexed="81"/>
            <rFont val="Tahoma"/>
            <charset val="1"/>
          </rPr>
          <t>Suleimenov Bakytzhan:</t>
        </r>
        <r>
          <rPr>
            <sz val="9"/>
            <color indexed="81"/>
            <rFont val="Tahoma"/>
            <charset val="1"/>
          </rPr>
          <t xml:space="preserve">
Stock chang added</t>
        </r>
      </text>
    </comment>
    <comment ref="N38"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0"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3"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57" authorId="3" shapeId="0">
      <text>
        <r>
          <rPr>
            <b/>
            <sz val="9"/>
            <color indexed="81"/>
            <rFont val="Tahoma"/>
            <charset val="1"/>
          </rPr>
          <t>Suleimenov Bakytzhan:</t>
        </r>
        <r>
          <rPr>
            <sz val="9"/>
            <color indexed="81"/>
            <rFont val="Tahoma"/>
            <charset val="1"/>
          </rPr>
          <t xml:space="preserve">
Assumption for wood in current use
</t>
        </r>
      </text>
    </comment>
    <comment ref="L57" authorId="3" shapeId="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<sst xmlns="http://schemas.openxmlformats.org/spreadsheetml/2006/main" count="2684" uniqueCount="836">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</sst>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6">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_-&quot;$&quot;* #,##0.00_-;\-&quot;$&quot;* #,##0.00_-;_-&quot;$&quot;* &quot;-&quot;??_-;_-@_-"/>
    <numFmt numFmtId="171" formatCode="0.0%"/>
    <numFmt numFmtId="172" formatCode="0.00_ ;[Red]\-0.00\ "/>
    <numFmt numFmtId="173" formatCode="[$-C09]d\ mmmm\ yyyy;@"/>
    <numFmt numFmtId="174" formatCode="_-[$€-2]* #,##0.00_-;\-[$€-2]* #,##0.00_-;_-[$€-2]* &quot;-&quot;??_-"/>
    <numFmt numFmtId="175" formatCode="_*#,##0.00;[Red]_*\(#,##0.00\);_*\-"/>
    <numFmt numFmtId="176" formatCode="#,##0\ ;\(#,##0\)"/>
    <numFmt numFmtId="177" formatCode="#,##0.0\ ;\(#,##0.0\)"/>
    <numFmt numFmtId="178" formatCode="#,##0.00\ ;\(#,##0.00\)"/>
    <numFmt numFmtId="179" formatCode="d\ mmm"/>
    <numFmt numFmtId="180" formatCode="d\ mmm\ yyyy"/>
    <numFmt numFmtId="181" formatCode="_-\$* #,##0.00_-;&quot;-$&quot;* #,##0.00_-;_-\$* \-??_-;_-@_-"/>
    <numFmt numFmtId="182" formatCode="#,###,;[Red]\-#,###,;0"/>
    <numFmt numFmtId="183" formatCode="_-* #,##0_-;\-* #,##0_-;_-* &quot;-&quot;??_-;_-@_-"/>
    <numFmt numFmtId="184" formatCode="#,##0.00_ ;\-#,##0.00\ "/>
    <numFmt numFmtId="185" formatCode="_-* #,##0.0_-;\-* #,##0.0_-;_-* &quot;-&quot;?_-;_-@_-"/>
    <numFmt numFmtId="186" formatCode="_(* #,##0_);_(* \(#,##0\);_(* &quot;-&quot;??_);_(@_)"/>
    <numFmt numFmtId="187" formatCode="_-* #,##0_-;\-* #,##0_-;_-* &quot;-&quot;?_-;_-@_-"/>
    <numFmt numFmtId="188" formatCode="0.0"/>
    <numFmt numFmtId="189" formatCode="_(* #,##0.000_);_(* \(#,##0.000\);_(* &quot;-&quot;??_);_(@_)"/>
    <numFmt numFmtId="190" formatCode="0.000"/>
    <numFmt numFmtId="191" formatCode="_-* #,##0.00\ _D_M_-;\-* #,##0.00\ _D_M_-;_-* &quot;-&quot;??\ _D_M_-;_-@_-"/>
    <numFmt numFmtId="192" formatCode="0.0000"/>
    <numFmt numFmtId="193" formatCode="m\-d\-yy"/>
    <numFmt numFmtId="194" formatCode="###,##0"/>
    <numFmt numFmtId="195" formatCode="###,##0.0"/>
    <numFmt numFmtId="196" formatCode="###,##0.00"/>
    <numFmt numFmtId="197" formatCode="#\ ##0;\-#\ ##0"/>
    <numFmt numFmtId="198" formatCode="0.00;\-0.00"/>
    <numFmt numFmtId="199" formatCode="\ ####"/>
    <numFmt numFmtId="200" formatCode="###\ ###.00"/>
    <numFmt numFmtId="201" formatCode="_([$€]* #,##0.00_);_([$€]* \(#,##0.00\);_([$€]* &quot;-&quot;??_);_(@_)"/>
    <numFmt numFmtId="202" formatCode="_-* #,##0.0_-;\-* #,##0.0_-;_-* &quot;-&quot;_-;_-@_-"/>
    <numFmt numFmtId="203" formatCode="_-* #,##0\ _P_t_s_-;\-* #,##0\ _P_t_s_-;_-* &quot;-&quot;\ _P_t_s_-;_-@_-"/>
    <numFmt numFmtId="204" formatCode="###,###,###"/>
    <numFmt numFmtId="205" formatCode="#\ ##0.0;\-#\ ##0.0"/>
    <numFmt numFmtId="206" formatCode="0.00_)"/>
    <numFmt numFmtId="207" formatCode="##\ ###"/>
    <numFmt numFmtId="208"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3"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170" fontId="13" fillId="0" borderId="0" applyFont="0" applyFill="0" applyBorder="0" applyAlignment="0" applyProtection="0"/>
    <xf numFmtId="0" fontId="13" fillId="0" borderId="0" applyBorder="0"/>
    <xf numFmtId="171" fontId="46" fillId="0" borderId="0"/>
    <xf numFmtId="171" fontId="46" fillId="0" borderId="0"/>
    <xf numFmtId="171" fontId="46" fillId="0" borderId="0"/>
    <xf numFmtId="0" fontId="13" fillId="0" borderId="0"/>
    <xf numFmtId="171" fontId="46" fillId="0" borderId="0"/>
    <xf numFmtId="0" fontId="13" fillId="0" borderId="0"/>
    <xf numFmtId="0" fontId="13" fillId="0" borderId="0"/>
    <xf numFmtId="0" fontId="13" fillId="0" borderId="0"/>
    <xf numFmtId="173" fontId="46" fillId="0" borderId="0"/>
    <xf numFmtId="0" fontId="13" fillId="0" borderId="0"/>
    <xf numFmtId="0" fontId="13" fillId="0" borderId="0"/>
    <xf numFmtId="171" fontId="46" fillId="0" borderId="0"/>
    <xf numFmtId="0" fontId="63" fillId="0" borderId="0"/>
    <xf numFmtId="173" fontId="63" fillId="0" borderId="0"/>
    <xf numFmtId="171" fontId="46" fillId="0" borderId="0"/>
    <xf numFmtId="0" fontId="13" fillId="0" borderId="0" applyBorder="0"/>
    <xf numFmtId="173" fontId="13" fillId="0" borderId="0" applyBorder="0"/>
    <xf numFmtId="0" fontId="13" fillId="0" borderId="0"/>
    <xf numFmtId="173"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4"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4"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4"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4"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4"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4"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4"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4"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4"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4"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4"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4"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4"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4"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4" fontId="47" fillId="53" borderId="0" applyNumberFormat="0" applyBorder="0" applyAlignment="0" applyProtection="0"/>
    <xf numFmtId="0" fontId="47" fillId="51" borderId="0" applyNumberFormat="0" applyBorder="0" applyAlignment="0" applyProtection="0"/>
    <xf numFmtId="174" fontId="47" fillId="53" borderId="0" applyNumberFormat="0" applyBorder="0" applyAlignment="0" applyProtection="0"/>
    <xf numFmtId="0" fontId="47" fillId="51" borderId="0" applyNumberFormat="0" applyBorder="0" applyAlignment="0" applyProtection="0"/>
    <xf numFmtId="174"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4"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4"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4"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4"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4"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4" fontId="47" fillId="61" borderId="0" applyNumberFormat="0" applyBorder="0" applyAlignment="0" applyProtection="0"/>
    <xf numFmtId="0" fontId="47" fillId="49" borderId="0" applyNumberFormat="0" applyBorder="0" applyAlignment="0" applyProtection="0"/>
    <xf numFmtId="174" fontId="47" fillId="61" borderId="0" applyNumberFormat="0" applyBorder="0" applyAlignment="0" applyProtection="0"/>
    <xf numFmtId="0" fontId="47" fillId="49" borderId="0" applyNumberFormat="0" applyBorder="0" applyAlignment="0" applyProtection="0"/>
    <xf numFmtId="174"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4"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4"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4"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4" fontId="47" fillId="59" borderId="0" applyNumberFormat="0" applyBorder="0" applyAlignment="0" applyProtection="0"/>
    <xf numFmtId="0" fontId="47" fillId="52" borderId="0" applyNumberFormat="0" applyBorder="0" applyAlignment="0" applyProtection="0"/>
    <xf numFmtId="174" fontId="47" fillId="59" borderId="0" applyNumberFormat="0" applyBorder="0" applyAlignment="0" applyProtection="0"/>
    <xf numFmtId="0" fontId="47" fillId="52" borderId="0" applyNumberFormat="0" applyBorder="0" applyAlignment="0" applyProtection="0"/>
    <xf numFmtId="174"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4"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4"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4"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4" fontId="47" fillId="48" borderId="0" applyNumberFormat="0" applyBorder="0" applyAlignment="0" applyProtection="0"/>
    <xf numFmtId="0" fontId="47" fillId="54" borderId="0" applyNumberFormat="0" applyBorder="0" applyAlignment="0" applyProtection="0"/>
    <xf numFmtId="174" fontId="47" fillId="48" borderId="0" applyNumberFormat="0" applyBorder="0" applyAlignment="0" applyProtection="0"/>
    <xf numFmtId="0" fontId="47" fillId="54" borderId="0" applyNumberFormat="0" applyBorder="0" applyAlignment="0" applyProtection="0"/>
    <xf numFmtId="174"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4"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4"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4" fontId="47" fillId="53" borderId="0" applyNumberFormat="0" applyBorder="0" applyAlignment="0" applyProtection="0"/>
    <xf numFmtId="0" fontId="47" fillId="55" borderId="0" applyNumberFormat="0" applyBorder="0" applyAlignment="0" applyProtection="0"/>
    <xf numFmtId="174" fontId="47" fillId="53" borderId="0" applyNumberFormat="0" applyBorder="0" applyAlignment="0" applyProtection="0"/>
    <xf numFmtId="0" fontId="47" fillId="55" borderId="0" applyNumberFormat="0" applyBorder="0" applyAlignment="0" applyProtection="0"/>
    <xf numFmtId="174"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4"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4"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4"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4"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4"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4"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4"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4" fontId="47" fillId="100" borderId="0" applyNumberFormat="0" applyBorder="0" applyAlignment="0" applyProtection="0"/>
    <xf numFmtId="0" fontId="47" fillId="52" borderId="0" applyNumberFormat="0" applyBorder="0" applyAlignment="0" applyProtection="0"/>
    <xf numFmtId="174" fontId="47" fillId="100" borderId="0" applyNumberFormat="0" applyBorder="0" applyAlignment="0" applyProtection="0"/>
    <xf numFmtId="0" fontId="47" fillId="52" borderId="0" applyNumberFormat="0" applyBorder="0" applyAlignment="0" applyProtection="0"/>
    <xf numFmtId="174"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4"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4"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4"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4"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4" fontId="47" fillId="54" borderId="0" applyNumberFormat="0" applyBorder="0" applyAlignment="0" applyProtection="0"/>
    <xf numFmtId="0" fontId="47" fillId="58" borderId="0" applyNumberFormat="0" applyBorder="0" applyAlignment="0" applyProtection="0"/>
    <xf numFmtId="174" fontId="47" fillId="54" borderId="0" applyNumberFormat="0" applyBorder="0" applyAlignment="0" applyProtection="0"/>
    <xf numFmtId="0" fontId="47" fillId="58" borderId="0" applyNumberFormat="0" applyBorder="0" applyAlignment="0" applyProtection="0"/>
    <xf numFmtId="174"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4"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4" fontId="81" fillId="0" borderId="0"/>
    <xf numFmtId="174" fontId="65" fillId="0" borderId="0" applyNumberFormat="0" applyFill="0" applyBorder="0" applyAlignment="0" applyProtection="0"/>
    <xf numFmtId="174"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4"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4"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5" fontId="83" fillId="82" borderId="45">
      <alignment horizontal="center" vertical="center"/>
    </xf>
    <xf numFmtId="175" fontId="83" fillId="82" borderId="45">
      <alignment horizontal="center" vertical="center"/>
    </xf>
    <xf numFmtId="175"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5" fontId="83" fillId="82" borderId="45">
      <alignment horizontal="center" vertical="center"/>
    </xf>
    <xf numFmtId="175" fontId="83" fillId="82" borderId="45">
      <alignment horizontal="center" vertical="center"/>
    </xf>
    <xf numFmtId="174"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103" borderId="29"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103" borderId="29"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59" borderId="29" applyNumberFormat="0" applyAlignment="0" applyProtection="0"/>
    <xf numFmtId="0" fontId="49" fillId="59" borderId="29" applyNumberFormat="0" applyAlignment="0" applyProtection="0"/>
    <xf numFmtId="174"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5" fontId="83" fillId="82" borderId="45">
      <alignment horizontal="center" vertical="center"/>
    </xf>
    <xf numFmtId="0" fontId="49" fillId="59" borderId="29" applyNumberFormat="0" applyAlignment="0" applyProtection="0"/>
    <xf numFmtId="0" fontId="49" fillId="59" borderId="29" applyNumberFormat="0" applyAlignment="0" applyProtection="0"/>
    <xf numFmtId="176" fontId="13" fillId="0" borderId="0"/>
    <xf numFmtId="177" fontId="13" fillId="0" borderId="0"/>
    <xf numFmtId="178" fontId="13" fillId="0" borderId="0"/>
    <xf numFmtId="179" fontId="13" fillId="0" borderId="0"/>
    <xf numFmtId="180"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4"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4"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4"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4" fontId="50" fillId="60" borderId="30" applyNumberFormat="0" applyAlignment="0" applyProtection="0"/>
    <xf numFmtId="0" fontId="50" fillId="60" borderId="30" applyNumberFormat="0" applyAlignment="0" applyProtection="0"/>
    <xf numFmtId="174"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4"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4" fontId="13" fillId="0" borderId="0" applyBorder="0"/>
    <xf numFmtId="174" fontId="13" fillId="0" borderId="0" applyBorder="0"/>
    <xf numFmtId="174" fontId="13" fillId="0" borderId="0" applyBorder="0"/>
    <xf numFmtId="174" fontId="12" fillId="0" borderId="0"/>
    <xf numFmtId="174" fontId="12" fillId="0" borderId="0">
      <alignment horizontal="center"/>
    </xf>
    <xf numFmtId="174" fontId="65" fillId="0" borderId="0">
      <alignment horizontal="center"/>
    </xf>
    <xf numFmtId="174" fontId="65" fillId="0" borderId="0">
      <alignment horizontal="center"/>
    </xf>
    <xf numFmtId="174" fontId="65" fillId="0" borderId="0">
      <alignment horizontal="center"/>
    </xf>
    <xf numFmtId="174" fontId="65" fillId="0" borderId="0">
      <alignment horizontal="center"/>
    </xf>
    <xf numFmtId="174" fontId="13" fillId="0" borderId="0">
      <alignment horizontal="center"/>
    </xf>
    <xf numFmtId="174" fontId="13" fillId="0" borderId="0">
      <alignment wrapText="1"/>
    </xf>
    <xf numFmtId="174" fontId="78" fillId="0" borderId="0"/>
    <xf numFmtId="174" fontId="68" fillId="0" borderId="0"/>
    <xf numFmtId="174" fontId="68" fillId="0" borderId="0"/>
    <xf numFmtId="174" fontId="68" fillId="0" borderId="0"/>
    <xf numFmtId="174" fontId="68" fillId="0" borderId="0"/>
    <xf numFmtId="174" fontId="87" fillId="0" borderId="0"/>
    <xf numFmtId="166" fontId="63" fillId="0" borderId="0" applyFont="0" applyFill="0" applyBorder="0" applyAlignment="0" applyProtection="0"/>
    <xf numFmtId="166" fontId="46" fillId="0" borderId="0" applyFont="0" applyFill="0" applyBorder="0" applyAlignment="0" applyProtection="0"/>
    <xf numFmtId="170" fontId="13" fillId="0" borderId="0" applyFont="0" applyFill="0" applyBorder="0" applyAlignment="0" applyProtection="0"/>
    <xf numFmtId="166" fontId="13" fillId="0" borderId="0" applyFont="0" applyFill="0" applyBorder="0" applyAlignment="0" applyProtection="0"/>
    <xf numFmtId="170"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1"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4"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4"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4"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4" fontId="89" fillId="0" borderId="0"/>
    <xf numFmtId="174"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4"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4"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4"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4"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4"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4"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4"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4" fontId="92" fillId="0" borderId="32" applyNumberFormat="0" applyFill="0" applyAlignment="0" applyProtection="0"/>
    <xf numFmtId="0" fontId="54" fillId="0" borderId="32" applyNumberFormat="0" applyFill="0" applyAlignment="0" applyProtection="0"/>
    <xf numFmtId="174" fontId="92" fillId="0" borderId="32" applyNumberFormat="0" applyFill="0" applyAlignment="0" applyProtection="0"/>
    <xf numFmtId="0" fontId="54" fillId="0" borderId="32" applyNumberFormat="0" applyFill="0" applyAlignment="0" applyProtection="0"/>
    <xf numFmtId="174"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4"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4"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4"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4" fontId="93" fillId="0" borderId="51" applyNumberFormat="0" applyFill="0" applyAlignment="0" applyProtection="0"/>
    <xf numFmtId="0" fontId="55" fillId="0" borderId="33" applyNumberFormat="0" applyFill="0" applyAlignment="0" applyProtection="0"/>
    <xf numFmtId="174" fontId="93" fillId="0" borderId="51" applyNumberFormat="0" applyFill="0" applyAlignment="0" applyProtection="0"/>
    <xf numFmtId="0" fontId="55" fillId="0" borderId="33" applyNumberFormat="0" applyFill="0" applyAlignment="0" applyProtection="0"/>
    <xf numFmtId="174"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4"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4"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4"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4"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6" fontId="69" fillId="106" borderId="0"/>
    <xf numFmtId="177" fontId="69" fillId="106" borderId="0"/>
    <xf numFmtId="178" fontId="69" fillId="106" borderId="0"/>
    <xf numFmtId="174" fontId="13" fillId="106" borderId="0">
      <protection locked="0"/>
    </xf>
    <xf numFmtId="181" fontId="13" fillId="106" borderId="0">
      <protection locked="0"/>
    </xf>
    <xf numFmtId="179" fontId="13" fillId="106" borderId="0">
      <protection locked="0"/>
    </xf>
    <xf numFmtId="180"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4" fontId="83" fillId="107" borderId="45" applyNumberFormat="0">
      <alignment horizontal="center" vertical="center"/>
      <protection locked="0"/>
    </xf>
    <xf numFmtId="174" fontId="83" fillId="107" borderId="45" applyNumberFormat="0">
      <alignment horizontal="center" vertical="center"/>
      <protection locked="0"/>
    </xf>
    <xf numFmtId="174"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4" fontId="83" fillId="107" borderId="45" applyNumberFormat="0">
      <alignment horizontal="center" vertical="center"/>
      <protection locked="0"/>
    </xf>
    <xf numFmtId="174" fontId="83" fillId="107" borderId="45" applyNumberFormat="0">
      <alignment horizontal="center" vertical="center"/>
      <protection locked="0"/>
    </xf>
    <xf numFmtId="174"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61" borderId="29"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61" borderId="29"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46" borderId="29" applyNumberFormat="0" applyAlignment="0" applyProtection="0"/>
    <xf numFmtId="0" fontId="56" fillId="46" borderId="29" applyNumberFormat="0" applyAlignment="0" applyProtection="0"/>
    <xf numFmtId="174"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4"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4" fontId="13" fillId="106" borderId="0">
      <protection locked="0"/>
    </xf>
    <xf numFmtId="174" fontId="13" fillId="106" borderId="0">
      <protection locked="0"/>
    </xf>
    <xf numFmtId="174" fontId="12" fillId="106" borderId="0">
      <protection locked="0"/>
    </xf>
    <xf numFmtId="174" fontId="13" fillId="106" borderId="0">
      <alignment horizontal="center"/>
      <protection locked="0"/>
    </xf>
    <xf numFmtId="174" fontId="13" fillId="106" borderId="0">
      <protection locked="0"/>
    </xf>
    <xf numFmtId="174" fontId="13" fillId="106" borderId="0"/>
    <xf numFmtId="174" fontId="13" fillId="106" borderId="0">
      <alignment wrapText="1"/>
      <protection locked="0"/>
    </xf>
    <xf numFmtId="174" fontId="78" fillId="106" borderId="0">
      <protection locked="0"/>
    </xf>
    <xf numFmtId="174" fontId="68" fillId="106" borderId="0">
      <protection locked="0"/>
    </xf>
    <xf numFmtId="174" fontId="68" fillId="106" borderId="0">
      <protection locked="0"/>
    </xf>
    <xf numFmtId="174" fontId="68" fillId="106" borderId="0">
      <protection locked="0"/>
    </xf>
    <xf numFmtId="174" fontId="68" fillId="106" borderId="0">
      <protection locked="0"/>
    </xf>
    <xf numFmtId="174"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4"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4"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6" fontId="68" fillId="0" borderId="0"/>
    <xf numFmtId="174" fontId="9" fillId="0" borderId="0"/>
    <xf numFmtId="174" fontId="9" fillId="0" borderId="0"/>
    <xf numFmtId="174" fontId="9" fillId="0" borderId="0"/>
    <xf numFmtId="174" fontId="9" fillId="0" borderId="0"/>
    <xf numFmtId="0" fontId="9" fillId="0" borderId="0"/>
    <xf numFmtId="174" fontId="13" fillId="0" borderId="0"/>
    <xf numFmtId="174"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4"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4" fontId="9" fillId="0" borderId="0"/>
    <xf numFmtId="0" fontId="75" fillId="0" borderId="0"/>
    <xf numFmtId="0" fontId="13" fillId="0" borderId="0"/>
    <xf numFmtId="0" fontId="13" fillId="0" borderId="0"/>
    <xf numFmtId="0" fontId="13" fillId="0" borderId="0"/>
    <xf numFmtId="174"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88" fillId="107" borderId="35" applyNumberFormat="0" applyAlignment="0" applyProtection="0"/>
    <xf numFmtId="174" fontId="88" fillId="107" borderId="35" applyNumberFormat="0" applyAlignment="0" applyProtection="0"/>
    <xf numFmtId="174"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88" fillId="108" borderId="35" applyNumberFormat="0" applyAlignment="0" applyProtection="0"/>
    <xf numFmtId="174" fontId="88" fillId="108" borderId="35" applyNumberForma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2"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4" fontId="59" fillId="87" borderId="36" applyNumberFormat="0" applyAlignment="0" applyProtection="0"/>
    <xf numFmtId="174" fontId="59" fillId="87" borderId="36" applyNumberFormat="0" applyAlignment="0" applyProtection="0"/>
    <xf numFmtId="174"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4" fontId="59" fillId="74" borderId="36" applyNumberFormat="0" applyAlignment="0" applyProtection="0"/>
    <xf numFmtId="174" fontId="59" fillId="74" borderId="36" applyNumberFormat="0" applyAlignment="0" applyProtection="0"/>
    <xf numFmtId="174"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103" borderId="36"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103" borderId="36"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59" borderId="36" applyNumberFormat="0" applyAlignment="0" applyProtection="0"/>
    <xf numFmtId="0" fontId="59" fillId="59" borderId="36" applyNumberFormat="0" applyAlignment="0" applyProtection="0"/>
    <xf numFmtId="174"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4"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4"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4"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4"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4" fontId="95" fillId="0" borderId="38">
      <alignment horizontal="center"/>
    </xf>
    <xf numFmtId="0" fontId="95" fillId="0" borderId="38">
      <alignment horizontal="center"/>
    </xf>
    <xf numFmtId="0" fontId="95" fillId="0" borderId="38">
      <alignment horizontal="center"/>
    </xf>
    <xf numFmtId="174" fontId="95" fillId="0" borderId="54">
      <alignment horizontal="center"/>
    </xf>
    <xf numFmtId="174" fontId="95" fillId="0" borderId="54">
      <alignment horizontal="center"/>
    </xf>
    <xf numFmtId="0" fontId="95" fillId="0" borderId="38">
      <alignment horizontal="center"/>
    </xf>
    <xf numFmtId="174"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4"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4"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4"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4"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4" fontId="66" fillId="109" borderId="0" applyNumberFormat="0" applyFont="0" applyBorder="0" applyAlignment="0" applyProtection="0"/>
    <xf numFmtId="176" fontId="13" fillId="0" borderId="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4"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4"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4"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5"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4" fontId="61" fillId="0" borderId="37" applyNumberFormat="0" applyFill="0" applyAlignment="0" applyProtection="0"/>
    <xf numFmtId="174" fontId="61" fillId="0" borderId="37" applyNumberFormat="0" applyFill="0" applyAlignment="0" applyProtection="0"/>
    <xf numFmtId="174"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4" fontId="61" fillId="0" borderId="56" applyNumberFormat="0" applyFill="0" applyAlignment="0" applyProtection="0"/>
    <xf numFmtId="174" fontId="61" fillId="0" borderId="56" applyNumberFormat="0" applyFill="0" applyAlignment="0" applyProtection="0"/>
    <xf numFmtId="174"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4"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4"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4"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4"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4"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vertical="top" textRotation="90" wrapText="1"/>
    </xf>
    <xf numFmtId="174" fontId="100" fillId="79" borderId="57">
      <alignment horizontal="center" vertical="top" textRotation="90" wrapText="1"/>
    </xf>
    <xf numFmtId="174" fontId="100" fillId="79" borderId="57">
      <alignment horizontal="center" vertical="top" textRotation="90" wrapText="1"/>
    </xf>
    <xf numFmtId="174" fontId="101" fillId="0" borderId="0">
      <alignment horizontal="center"/>
    </xf>
    <xf numFmtId="174" fontId="102" fillId="80" borderId="0"/>
    <xf numFmtId="174" fontId="103" fillId="113" borderId="0"/>
    <xf numFmtId="174" fontId="102" fillId="80" borderId="0"/>
    <xf numFmtId="174" fontId="102" fillId="64" borderId="0"/>
    <xf numFmtId="174" fontId="104" fillId="80" borderId="45">
      <alignment horizontal="center" vertical="center"/>
    </xf>
    <xf numFmtId="174" fontId="104" fillId="80" borderId="45">
      <alignment horizontal="center" vertical="center"/>
    </xf>
    <xf numFmtId="174"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3"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0"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3" fontId="10" fillId="0" borderId="0" applyBorder="0"/>
    <xf numFmtId="0" fontId="10" fillId="0" borderId="0"/>
    <xf numFmtId="173"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6" fontId="10" fillId="0" borderId="0"/>
    <xf numFmtId="177" fontId="10" fillId="0" borderId="0"/>
    <xf numFmtId="178" fontId="10" fillId="0" borderId="0"/>
    <xf numFmtId="179" fontId="10" fillId="0" borderId="0"/>
    <xf numFmtId="180"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4" fontId="10" fillId="0" borderId="0" applyBorder="0"/>
    <xf numFmtId="174" fontId="10" fillId="0" borderId="0" applyBorder="0"/>
    <xf numFmtId="174" fontId="10" fillId="0" borderId="0" applyBorder="0"/>
    <xf numFmtId="174" fontId="10" fillId="0" borderId="0">
      <alignment horizontal="center"/>
    </xf>
    <xf numFmtId="174" fontId="10" fillId="0" borderId="0">
      <alignment wrapText="1"/>
    </xf>
    <xf numFmtId="170"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106" borderId="0">
      <protection locked="0"/>
    </xf>
    <xf numFmtId="181" fontId="10" fillId="106" borderId="0">
      <protection locked="0"/>
    </xf>
    <xf numFmtId="179" fontId="10" fillId="106" borderId="0">
      <protection locked="0"/>
    </xf>
    <xf numFmtId="180" fontId="10" fillId="106" borderId="0">
      <protection locked="0"/>
    </xf>
    <xf numFmtId="17" fontId="10" fillId="106" borderId="0">
      <protection locked="0"/>
    </xf>
    <xf numFmtId="20" fontId="10" fillId="106" borderId="0">
      <protection locked="0"/>
    </xf>
    <xf numFmtId="174" fontId="10" fillId="106" borderId="0">
      <protection locked="0"/>
    </xf>
    <xf numFmtId="174" fontId="10" fillId="106" borderId="0">
      <protection locked="0"/>
    </xf>
    <xf numFmtId="174" fontId="10" fillId="106" borderId="0">
      <alignment horizontal="center"/>
      <protection locked="0"/>
    </xf>
    <xf numFmtId="174" fontId="10" fillId="106" borderId="0">
      <protection locked="0"/>
    </xf>
    <xf numFmtId="174" fontId="10" fillId="106" borderId="0"/>
    <xf numFmtId="174" fontId="10" fillId="106" borderId="0">
      <alignment wrapText="1"/>
      <protection locked="0"/>
    </xf>
    <xf numFmtId="174" fontId="8" fillId="0" borderId="0"/>
    <xf numFmtId="174" fontId="8" fillId="0" borderId="0"/>
    <xf numFmtId="174" fontId="8" fillId="0" borderId="0"/>
    <xf numFmtId="174" fontId="8" fillId="0" borderId="0"/>
    <xf numFmtId="0" fontId="8" fillId="0" borderId="0"/>
    <xf numFmtId="174" fontId="10" fillId="0" borderId="0"/>
    <xf numFmtId="174"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4"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6" fontId="10" fillId="0" borderId="0"/>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3"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0"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3" fontId="10" fillId="0" borderId="0" applyBorder="0"/>
    <xf numFmtId="0" fontId="10" fillId="0" borderId="0"/>
    <xf numFmtId="173"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6" fontId="10" fillId="0" borderId="0"/>
    <xf numFmtId="177" fontId="10" fillId="0" borderId="0"/>
    <xf numFmtId="178" fontId="10" fillId="0" borderId="0"/>
    <xf numFmtId="179" fontId="10" fillId="0" borderId="0"/>
    <xf numFmtId="180"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4" fontId="10" fillId="0" borderId="0" applyBorder="0"/>
    <xf numFmtId="174" fontId="10" fillId="0" borderId="0" applyBorder="0"/>
    <xf numFmtId="174" fontId="10" fillId="0" borderId="0" applyBorder="0"/>
    <xf numFmtId="174" fontId="10" fillId="0" borderId="0">
      <alignment horizontal="center"/>
    </xf>
    <xf numFmtId="174" fontId="10" fillId="0" borderId="0">
      <alignment wrapText="1"/>
    </xf>
    <xf numFmtId="170"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106" borderId="0">
      <protection locked="0"/>
    </xf>
    <xf numFmtId="181" fontId="10" fillId="106" borderId="0">
      <protection locked="0"/>
    </xf>
    <xf numFmtId="179" fontId="10" fillId="106" borderId="0">
      <protection locked="0"/>
    </xf>
    <xf numFmtId="180" fontId="10" fillId="106" borderId="0">
      <protection locked="0"/>
    </xf>
    <xf numFmtId="17" fontId="10" fillId="106" borderId="0">
      <protection locked="0"/>
    </xf>
    <xf numFmtId="20" fontId="10" fillId="106" borderId="0">
      <protection locked="0"/>
    </xf>
    <xf numFmtId="174" fontId="10" fillId="106" borderId="0">
      <protection locked="0"/>
    </xf>
    <xf numFmtId="174" fontId="10" fillId="106" borderId="0">
      <protection locked="0"/>
    </xf>
    <xf numFmtId="174" fontId="10" fillId="106" borderId="0">
      <alignment horizontal="center"/>
      <protection locked="0"/>
    </xf>
    <xf numFmtId="174" fontId="10" fillId="106" borderId="0">
      <protection locked="0"/>
    </xf>
    <xf numFmtId="174" fontId="10" fillId="106" borderId="0"/>
    <xf numFmtId="174" fontId="10" fillId="106" borderId="0">
      <alignment wrapText="1"/>
      <protection locked="0"/>
    </xf>
    <xf numFmtId="174" fontId="8" fillId="0" borderId="0"/>
    <xf numFmtId="174" fontId="8" fillId="0" borderId="0"/>
    <xf numFmtId="174" fontId="8" fillId="0" borderId="0"/>
    <xf numFmtId="174" fontId="8" fillId="0" borderId="0"/>
    <xf numFmtId="0" fontId="8" fillId="0" borderId="0"/>
    <xf numFmtId="174" fontId="10" fillId="0" borderId="0"/>
    <xf numFmtId="174"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4"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6" fontId="10" fillId="0" borderId="0"/>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1"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4" fontId="10" fillId="0" borderId="0" applyFont="0" applyFill="0" applyBorder="0" applyAlignment="0" applyProtection="0"/>
    <xf numFmtId="0" fontId="8" fillId="21" borderId="0" applyNumberFormat="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4" fontId="8" fillId="0" borderId="0"/>
    <xf numFmtId="174" fontId="8" fillId="0" borderId="0"/>
    <xf numFmtId="174"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4" fontId="135" fillId="0" borderId="0" applyFont="0" applyFill="0" applyBorder="0" applyAlignment="0" applyProtection="0"/>
    <xf numFmtId="174" fontId="135" fillId="0" borderId="0" applyFont="0" applyFill="0" applyBorder="0" applyAlignment="0" applyProtection="0"/>
    <xf numFmtId="174"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8" fillId="0" borderId="0"/>
    <xf numFmtId="174" fontId="8" fillId="0" borderId="0"/>
    <xf numFmtId="174"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3" fontId="12" fillId="123" borderId="91">
      <alignment horizontal="center" vertical="center"/>
    </xf>
    <xf numFmtId="194" fontId="177" fillId="0" borderId="0" applyFill="0" applyBorder="0" applyProtection="0">
      <alignment horizontal="right"/>
      <protection locked="0"/>
    </xf>
    <xf numFmtId="195" fontId="177" fillId="0" borderId="0" applyFill="0" applyBorder="0" applyProtection="0">
      <alignment horizontal="right"/>
    </xf>
    <xf numFmtId="196"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7" fontId="177" fillId="0" borderId="0" applyFont="0" applyFill="0" applyBorder="0" applyAlignment="0" applyProtection="0"/>
    <xf numFmtId="198" fontId="177" fillId="0" borderId="0" applyFont="0" applyFill="0" applyBorder="0" applyAlignment="0" applyProtection="0"/>
    <xf numFmtId="199" fontId="10" fillId="0" borderId="0" applyFont="0" applyFill="0" applyBorder="0" applyAlignment="0" applyProtection="0"/>
    <xf numFmtId="200"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1" fontId="10" fillId="0" borderId="0" applyFont="0" applyFill="0" applyBorder="0" applyAlignment="0" applyProtection="0"/>
    <xf numFmtId="202"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3" fontId="10" fillId="0" borderId="0">
      <protection locked="0"/>
    </xf>
    <xf numFmtId="203"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4"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5" fontId="177" fillId="0" borderId="0" applyFont="0" applyFill="0" applyBorder="0" applyAlignment="0" applyProtection="0"/>
    <xf numFmtId="197"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6"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7" fontId="10" fillId="0" borderId="0" applyFont="0" applyFill="0" applyBorder="0" applyAlignment="0" applyProtection="0"/>
    <xf numFmtId="208"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1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2" fontId="13" fillId="72" borderId="39" xfId="40" quotePrefix="1" applyNumberFormat="1" applyFont="1" applyFill="1" applyBorder="1" applyAlignment="1">
      <alignment horizontal="center" vertical="center"/>
    </xf>
    <xf numFmtId="172" fontId="64" fillId="64" borderId="39" xfId="40" applyNumberFormat="1" applyFont="1" applyFill="1" applyBorder="1" applyAlignment="1" applyProtection="1">
      <alignment horizontal="center"/>
      <protection locked="0"/>
    </xf>
    <xf numFmtId="172" fontId="64" fillId="64" borderId="39" xfId="40" applyNumberFormat="1" applyFont="1" applyFill="1" applyBorder="1" applyAlignment="1" applyProtection="1">
      <alignment horizontal="center" vertical="center"/>
      <protection locked="0"/>
    </xf>
    <xf numFmtId="172" fontId="64" fillId="14" borderId="39" xfId="40" applyNumberFormat="1" applyFont="1" applyFill="1" applyBorder="1" applyAlignment="1" applyProtection="1">
      <alignment horizontal="center" vertical="center"/>
      <protection locked="0"/>
    </xf>
    <xf numFmtId="172" fontId="64" fillId="64" borderId="39" xfId="40" applyNumberFormat="1" applyFont="1" applyFill="1" applyBorder="1" applyAlignment="1">
      <alignment horizontal="center" vertical="center"/>
    </xf>
    <xf numFmtId="172" fontId="64" fillId="63" borderId="39" xfId="40" applyNumberFormat="1" applyFont="1" applyFill="1" applyBorder="1" applyAlignment="1">
      <alignment horizontal="center" vertical="center"/>
    </xf>
    <xf numFmtId="172" fontId="64" fillId="66" borderId="39" xfId="40" applyNumberFormat="1" applyFont="1" applyFill="1" applyBorder="1" applyAlignment="1">
      <alignment horizontal="center" vertical="center"/>
    </xf>
    <xf numFmtId="172" fontId="64" fillId="68" borderId="39" xfId="40" applyNumberFormat="1" applyFont="1" applyFill="1" applyBorder="1" applyAlignment="1">
      <alignment horizontal="center" vertical="center"/>
    </xf>
    <xf numFmtId="172" fontId="64" fillId="69" borderId="39" xfId="40" applyNumberFormat="1" applyFont="1" applyFill="1" applyBorder="1" applyAlignment="1">
      <alignment horizontal="center" vertical="center"/>
    </xf>
    <xf numFmtId="172"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2" fontId="13" fillId="72" borderId="39" xfId="40" applyNumberFormat="1" applyFont="1" applyFill="1" applyBorder="1" applyAlignment="1">
      <alignment horizontal="center" vertical="center"/>
    </xf>
    <xf numFmtId="172" fontId="64" fillId="72" borderId="39" xfId="40" applyNumberFormat="1" applyFont="1" applyFill="1" applyBorder="1" applyAlignment="1" applyProtection="1">
      <alignment horizontal="center"/>
      <protection locked="0"/>
    </xf>
    <xf numFmtId="172" fontId="64" fillId="72" borderId="39" xfId="40" applyNumberFormat="1" applyFont="1" applyFill="1" applyBorder="1" applyAlignment="1" applyProtection="1">
      <alignment horizontal="center" vertical="center"/>
      <protection locked="0"/>
    </xf>
    <xf numFmtId="172" fontId="64" fillId="72" borderId="39" xfId="40" applyNumberFormat="1" applyFont="1" applyFill="1" applyBorder="1" applyAlignment="1">
      <alignment horizontal="center" vertical="center"/>
    </xf>
    <xf numFmtId="172" fontId="64" fillId="72" borderId="39" xfId="35" applyNumberFormat="1" applyFont="1" applyFill="1" applyBorder="1" applyAlignment="1">
      <alignment horizontal="center"/>
    </xf>
    <xf numFmtId="172"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2" fontId="64" fillId="72" borderId="61" xfId="0" applyNumberFormat="1" applyFont="1" applyFill="1" applyBorder="1" applyAlignment="1">
      <alignment horizontal="center"/>
    </xf>
    <xf numFmtId="172" fontId="64" fillId="64" borderId="60" xfId="40" applyNumberFormat="1" applyFont="1" applyFill="1" applyBorder="1" applyAlignment="1">
      <alignment horizontal="center" vertical="center"/>
    </xf>
    <xf numFmtId="172" fontId="64" fillId="72" borderId="60" xfId="40" applyNumberFormat="1" applyFont="1" applyFill="1" applyBorder="1" applyAlignment="1">
      <alignment horizontal="center" vertical="center"/>
    </xf>
    <xf numFmtId="172"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2" fontId="64" fillId="72" borderId="42" xfId="0" applyNumberFormat="1" applyFont="1" applyFill="1" applyBorder="1" applyAlignment="1">
      <alignment horizontal="center"/>
    </xf>
    <xf numFmtId="172" fontId="64" fillId="67" borderId="42" xfId="40" applyNumberFormat="1" applyFont="1" applyFill="1" applyBorder="1" applyAlignment="1">
      <alignment horizontal="center" vertical="center"/>
    </xf>
    <xf numFmtId="172" fontId="64" fillId="72" borderId="42" xfId="40" applyNumberFormat="1" applyFont="1" applyFill="1" applyBorder="1" applyAlignment="1">
      <alignment horizontal="center" vertical="center"/>
    </xf>
    <xf numFmtId="172"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2" fontId="64" fillId="72" borderId="41" xfId="0" applyNumberFormat="1" applyFont="1" applyFill="1" applyBorder="1" applyAlignment="1">
      <alignment horizontal="center"/>
    </xf>
    <xf numFmtId="172" fontId="64" fillId="64" borderId="41" xfId="40" applyNumberFormat="1" applyFont="1" applyFill="1" applyBorder="1" applyAlignment="1">
      <alignment horizontal="center" vertical="center"/>
    </xf>
    <xf numFmtId="172" fontId="64" fillId="72" borderId="41" xfId="40" applyNumberFormat="1" applyFont="1" applyFill="1" applyBorder="1" applyAlignment="1">
      <alignment horizontal="center" vertical="center"/>
    </xf>
    <xf numFmtId="172"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4"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3"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3"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3" fontId="106" fillId="121" borderId="0" xfId="7582" applyNumberFormat="1" applyFont="1" applyFill="1" applyBorder="1" applyAlignment="1">
      <alignment horizontal="left" vertical="center" wrapText="1" indent="1"/>
    </xf>
    <xf numFmtId="184" fontId="106" fillId="121" borderId="0" xfId="7582" applyNumberFormat="1" applyFont="1" applyFill="1" applyBorder="1" applyAlignment="1">
      <alignment horizontal="right"/>
    </xf>
    <xf numFmtId="183"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4" fontId="74" fillId="121" borderId="0" xfId="7582" applyNumberFormat="1" applyFont="1" applyFill="1" applyBorder="1" applyAlignment="1"/>
    <xf numFmtId="183" fontId="74" fillId="121" borderId="0" xfId="7582" applyNumberFormat="1" applyFont="1" applyFill="1"/>
    <xf numFmtId="43" fontId="116" fillId="121" borderId="0" xfId="7582" applyNumberFormat="1" applyFont="1" applyFill="1" applyBorder="1" applyAlignment="1">
      <alignment horizontal="left" vertical="center" wrapText="1"/>
    </xf>
    <xf numFmtId="183" fontId="116" fillId="121" borderId="0" xfId="7582" applyNumberFormat="1" applyFont="1" applyFill="1" applyBorder="1" applyAlignment="1">
      <alignment horizontal="left" vertical="center" wrapText="1"/>
    </xf>
    <xf numFmtId="183" fontId="73" fillId="65" borderId="0" xfId="7582" applyNumberFormat="1" applyFont="1" applyFill="1" applyAlignment="1">
      <alignment horizontal="left" indent="1"/>
    </xf>
    <xf numFmtId="43" fontId="74" fillId="65" borderId="0" xfId="7582" applyNumberFormat="1" applyFont="1" applyFill="1" applyAlignment="1"/>
    <xf numFmtId="184" fontId="74" fillId="65" borderId="0" xfId="7582" applyNumberFormat="1" applyFont="1" applyFill="1" applyBorder="1" applyAlignment="1"/>
    <xf numFmtId="183" fontId="74" fillId="65" borderId="0" xfId="7582" applyNumberFormat="1" applyFont="1" applyFill="1" applyAlignment="1">
      <alignment horizontal="left" indent="2"/>
    </xf>
    <xf numFmtId="183" fontId="117" fillId="121" borderId="0" xfId="7582" applyNumberFormat="1" applyFont="1" applyFill="1"/>
    <xf numFmtId="43" fontId="117" fillId="121" borderId="0" xfId="7582" applyNumberFormat="1" applyFont="1" applyFill="1" applyAlignment="1"/>
    <xf numFmtId="183"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3"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3" fontId="29" fillId="73" borderId="68" xfId="7586" applyNumberFormat="1" applyFont="1" applyFill="1" applyBorder="1"/>
    <xf numFmtId="183"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6" fontId="74" fillId="73" borderId="0" xfId="7586" applyNumberFormat="1" applyFont="1" applyFill="1" applyBorder="1"/>
    <xf numFmtId="186" fontId="74" fillId="73" borderId="66" xfId="7583" applyNumberFormat="1" applyFont="1" applyFill="1" applyBorder="1"/>
    <xf numFmtId="186" fontId="74" fillId="73" borderId="38" xfId="7586" applyNumberFormat="1" applyFont="1" applyFill="1" applyBorder="1"/>
    <xf numFmtId="186"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5"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5"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5"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7" fontId="13" fillId="64" borderId="10" xfId="12" applyNumberFormat="1" applyFill="1" applyBorder="1"/>
    <xf numFmtId="187" fontId="13" fillId="64" borderId="10" xfId="12" applyNumberFormat="1" applyFill="1" applyBorder="1" applyAlignment="1"/>
    <xf numFmtId="187" fontId="13" fillId="64" borderId="3" xfId="12" applyNumberFormat="1" applyFill="1" applyBorder="1" applyAlignment="1"/>
    <xf numFmtId="187" fontId="13" fillId="64" borderId="13" xfId="12" applyNumberFormat="1" applyFill="1" applyBorder="1" applyAlignment="1"/>
    <xf numFmtId="187" fontId="12" fillId="64" borderId="10" xfId="12" applyNumberFormat="1" applyFont="1" applyFill="1" applyBorder="1"/>
    <xf numFmtId="187" fontId="12" fillId="64" borderId="10" xfId="12" applyNumberFormat="1" applyFont="1" applyFill="1" applyBorder="1" applyAlignment="1"/>
    <xf numFmtId="187" fontId="12" fillId="64" borderId="3" xfId="12" applyNumberFormat="1" applyFont="1" applyFill="1" applyBorder="1" applyAlignment="1"/>
    <xf numFmtId="187" fontId="13" fillId="64" borderId="11" xfId="12" applyNumberFormat="1" applyFill="1" applyBorder="1"/>
    <xf numFmtId="187" fontId="13" fillId="64" borderId="11" xfId="12" applyNumberFormat="1" applyFill="1" applyBorder="1" applyAlignment="1"/>
    <xf numFmtId="187" fontId="13" fillId="64" borderId="0" xfId="12" applyNumberFormat="1" applyFill="1" applyBorder="1" applyAlignment="1"/>
    <xf numFmtId="187" fontId="12" fillId="64" borderId="1" xfId="12" applyNumberFormat="1" applyFont="1" applyFill="1" applyBorder="1" applyAlignment="1"/>
    <xf numFmtId="187" fontId="12" fillId="64" borderId="13" xfId="12" applyNumberFormat="1" applyFont="1" applyFill="1" applyBorder="1"/>
    <xf numFmtId="187" fontId="12" fillId="64" borderId="13" xfId="12" applyNumberFormat="1" applyFont="1" applyFill="1" applyBorder="1" applyAlignment="1"/>
    <xf numFmtId="187"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8" fontId="71" fillId="14" borderId="0" xfId="0" applyNumberFormat="1" applyFont="1" applyFill="1"/>
    <xf numFmtId="188"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3"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9"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8"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8" fontId="71" fillId="14" borderId="0" xfId="0" applyNumberFormat="1" applyFont="1" applyFill="1" applyAlignment="1">
      <alignment horizontal="center" vertical="center"/>
    </xf>
    <xf numFmtId="188" fontId="71" fillId="14" borderId="0" xfId="0" applyNumberFormat="1" applyFont="1" applyFill="1" applyAlignment="1">
      <alignment horizontal="center" vertical="center" wrapText="1"/>
    </xf>
    <xf numFmtId="188" fontId="71" fillId="14" borderId="0" xfId="0" applyNumberFormat="1" applyFont="1" applyFill="1" applyBorder="1" applyAlignment="1">
      <alignment horizontal="center" vertical="center" wrapText="1"/>
    </xf>
    <xf numFmtId="188"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90" fontId="75" fillId="0" borderId="0" xfId="7586" applyNumberFormat="1"/>
    <xf numFmtId="190"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8"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8" fontId="71" fillId="0" borderId="0" xfId="14516" applyNumberFormat="1" applyFont="1" applyAlignment="1">
      <alignment horizontal="center" vertical="center"/>
    </xf>
    <xf numFmtId="188"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8" fontId="71" fillId="14" borderId="0" xfId="14516" applyNumberFormat="1" applyFont="1" applyFill="1" applyAlignment="1">
      <alignment horizontal="center" vertical="center"/>
    </xf>
    <xf numFmtId="188"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8"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90"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8" fontId="68" fillId="16" borderId="8" xfId="0" applyNumberFormat="1" applyFont="1" applyFill="1" applyBorder="1" applyAlignment="1">
      <alignment horizontal="center"/>
    </xf>
    <xf numFmtId="190" fontId="68" fillId="16" borderId="8" xfId="0" applyNumberFormat="1" applyFont="1" applyFill="1" applyBorder="1" applyAlignment="1">
      <alignment horizontal="center"/>
    </xf>
    <xf numFmtId="171"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90"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2" fontId="12" fillId="0" borderId="82" xfId="18779" applyNumberFormat="1" applyFont="1" applyBorder="1" applyAlignment="1">
      <alignment vertical="center"/>
    </xf>
    <xf numFmtId="0" fontId="75" fillId="0" borderId="0" xfId="18779" applyFont="1"/>
    <xf numFmtId="188" fontId="71" fillId="13" borderId="0" xfId="14516" applyNumberFormat="1" applyFont="1" applyFill="1" applyAlignment="1">
      <alignment horizontal="center" vertical="center"/>
    </xf>
    <xf numFmtId="188" fontId="164" fillId="0" borderId="86" xfId="18779" applyNumberFormat="1" applyFont="1" applyFill="1" applyBorder="1" applyAlignment="1">
      <alignment horizontal="center"/>
    </xf>
    <xf numFmtId="188" fontId="164" fillId="0" borderId="71" xfId="18779" applyNumberFormat="1" applyFont="1" applyFill="1" applyBorder="1" applyAlignment="1">
      <alignment horizontal="center"/>
    </xf>
    <xf numFmtId="188" fontId="164" fillId="0" borderId="87" xfId="18779" applyNumberFormat="1" applyFont="1" applyFill="1" applyBorder="1" applyAlignment="1">
      <alignment horizontal="center"/>
    </xf>
    <xf numFmtId="188"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2"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2" fontId="12" fillId="0" borderId="82" xfId="18779" applyNumberFormat="1" applyFont="1" applyBorder="1" applyAlignment="1">
      <alignment vertical="center"/>
    </xf>
    <xf numFmtId="188" fontId="12" fillId="0" borderId="83" xfId="18779" applyNumberFormat="1" applyFont="1" applyBorder="1" applyAlignment="1">
      <alignment horizontal="center"/>
    </xf>
    <xf numFmtId="188" fontId="12" fillId="0" borderId="84" xfId="18779" applyNumberFormat="1" applyFont="1" applyBorder="1" applyAlignment="1">
      <alignment horizontal="center"/>
    </xf>
    <xf numFmtId="190"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1" fontId="0" fillId="0" borderId="0" xfId="17" applyNumberFormat="1" applyFont="1"/>
    <xf numFmtId="0" fontId="65" fillId="2" borderId="1" xfId="14606" applyFont="1" applyFill="1" applyBorder="1" applyAlignment="1">
      <alignment horizontal="center" vertical="center"/>
    </xf>
    <xf numFmtId="188"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90" fontId="68" fillId="16" borderId="8" xfId="0" applyNumberFormat="1" applyFont="1" applyFill="1" applyBorder="1" applyAlignment="1">
      <alignment horizontal="center" vertical="center"/>
    </xf>
    <xf numFmtId="188"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8"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90" fontId="68" fillId="16" borderId="0" xfId="0" applyNumberFormat="1" applyFont="1" applyFill="1" applyAlignment="1">
      <alignment horizontal="center"/>
    </xf>
    <xf numFmtId="171"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8"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8"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1" fontId="68" fillId="16" borderId="15" xfId="17391" applyNumberFormat="1" applyFont="1" applyFill="1" applyBorder="1" applyAlignment="1">
      <alignment horizontal="center" vertical="center"/>
    </xf>
    <xf numFmtId="171"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8"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1" fontId="191" fillId="16" borderId="15" xfId="16602" applyNumberFormat="1" applyFont="1" applyFill="1" applyBorder="1" applyAlignment="1">
      <alignment horizontal="center" vertical="center"/>
    </xf>
    <xf numFmtId="190" fontId="191" fillId="16" borderId="8" xfId="0" applyNumberFormat="1" applyFont="1" applyFill="1" applyBorder="1" applyAlignment="1">
      <alignment horizontal="center" vertical="center"/>
    </xf>
    <xf numFmtId="188" fontId="191" fillId="16" borderId="0" xfId="0" applyNumberFormat="1" applyFont="1" applyFill="1" applyAlignment="1">
      <alignment horizontal="center" vertical="center"/>
    </xf>
    <xf numFmtId="171"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90" fontId="154" fillId="0" borderId="1" xfId="18230" applyNumberFormat="1" applyFont="1" applyBorder="1" applyAlignment="1">
      <alignment horizontal="center" vertical="center" wrapText="1"/>
    </xf>
    <xf numFmtId="190" fontId="154" fillId="0" borderId="79" xfId="18230" applyNumberFormat="1" applyFont="1" applyBorder="1" applyAlignment="1">
      <alignment horizontal="center" vertical="center" wrapText="1"/>
    </xf>
    <xf numFmtId="190" fontId="154" fillId="0" borderId="0" xfId="18230" applyNumberFormat="1" applyFont="1" applyBorder="1" applyAlignment="1">
      <alignment horizontal="center" vertical="center" wrapText="1"/>
    </xf>
    <xf numFmtId="190"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68" t="s">
        <v>150</v>
      </c>
      <c r="E30" s="668"/>
      <c r="F30" s="668"/>
      <c r="G30" s="668"/>
      <c r="H30" s="668"/>
      <c r="I30" s="669" t="s">
        <v>151</v>
      </c>
      <c r="J30" s="669"/>
      <c r="K30" s="669"/>
      <c r="L30" s="669"/>
      <c r="M30" s="669"/>
      <c r="N30" s="669"/>
      <c r="O30" s="669"/>
      <c r="P30" s="669"/>
      <c r="Q30" s="68" t="s">
        <v>52</v>
      </c>
      <c r="R30" s="670" t="s">
        <v>152</v>
      </c>
      <c r="S30" s="670"/>
      <c r="T30" s="670"/>
      <c r="U30" s="670"/>
      <c r="V30" s="670"/>
      <c r="W30" s="670"/>
      <c r="X30" s="670"/>
      <c r="Y30" s="671"/>
      <c r="Z30" s="87"/>
      <c r="AA30" s="69" t="s">
        <v>75</v>
      </c>
      <c r="AB30" s="70" t="s">
        <v>153</v>
      </c>
      <c r="AC30" s="672"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2"/>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1" t="s">
        <v>330</v>
      </c>
      <c r="B45" s="681"/>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2">
        <v>2015</v>
      </c>
      <c r="B46" s="683"/>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4" t="s">
        <v>445</v>
      </c>
      <c r="B47" s="685"/>
      <c r="C47" s="448"/>
      <c r="D47" s="688" t="s">
        <v>150</v>
      </c>
      <c r="E47" s="689"/>
      <c r="F47" s="689"/>
      <c r="G47" s="689"/>
      <c r="H47" s="690"/>
      <c r="I47" s="678" t="s">
        <v>151</v>
      </c>
      <c r="J47" s="679"/>
      <c r="K47" s="679"/>
      <c r="L47" s="679"/>
      <c r="M47" s="679"/>
      <c r="N47" s="679"/>
      <c r="O47" s="679"/>
      <c r="P47" s="680"/>
      <c r="Q47" s="467" t="s">
        <v>52</v>
      </c>
      <c r="R47" s="673" t="s">
        <v>152</v>
      </c>
      <c r="S47" s="674"/>
      <c r="T47" s="674"/>
      <c r="U47" s="674"/>
      <c r="V47" s="674"/>
      <c r="W47" s="674"/>
      <c r="X47" s="674"/>
      <c r="Y47" s="675"/>
      <c r="Z47" s="449" t="s">
        <v>75</v>
      </c>
      <c r="AA47" s="450" t="s">
        <v>153</v>
      </c>
      <c r="AB47" s="676" t="s">
        <v>154</v>
      </c>
    </row>
    <row r="48" spans="1:29" ht="51" customHeight="1" thickBot="1">
      <c r="A48" s="686"/>
      <c r="B48" s="687"/>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7"/>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6"/>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6"/>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6"/>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6"/>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7"/>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zoomScale="85" zoomScaleNormal="85" workbookViewId="0">
      <selection activeCell="K19" sqref="K19"/>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5" spans="2:28" ht="15">
      <c r="B25" s="351" t="s">
        <v>295</v>
      </c>
      <c r="C25" s="348" t="s">
        <v>69</v>
      </c>
      <c r="D25" s="348" t="s">
        <v>343</v>
      </c>
    </row>
    <row r="26" spans="2:28" ht="30">
      <c r="B26" s="350" t="s">
        <v>296</v>
      </c>
      <c r="C26" s="349">
        <f>+'EB1'!I59</f>
        <v>-244.4430342689065</v>
      </c>
      <c r="D26" s="355"/>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topLeftCell="A7" zoomScale="85" zoomScaleNormal="85" workbookViewId="0">
      <selection activeCell="F25" sqref="F25"/>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row>
    <row r="6" spans="2:19">
      <c r="B6" s="174" t="s">
        <v>145</v>
      </c>
      <c r="C6" s="111">
        <v>1</v>
      </c>
      <c r="D6" s="111">
        <v>1</v>
      </c>
      <c r="E6" s="111">
        <v>1</v>
      </c>
      <c r="F6" s="111">
        <v>1</v>
      </c>
      <c r="G6" s="175">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6"/>
      <c r="E161" s="709">
        <v>2016</v>
      </c>
      <c r="F161" s="709"/>
      <c r="G161" s="709"/>
      <c r="H161" s="709"/>
      <c r="I161" s="709"/>
      <c r="J161" s="709"/>
      <c r="K161" s="709"/>
      <c r="L161" s="709"/>
      <c r="M161" s="709"/>
      <c r="N161" s="709"/>
      <c r="O161" s="709"/>
      <c r="P161" s="710"/>
    </row>
    <row r="162" spans="4:16" ht="12.75">
      <c r="D162" s="707"/>
      <c r="E162" s="711" t="s">
        <v>223</v>
      </c>
      <c r="F162" s="709"/>
      <c r="G162" s="709"/>
      <c r="H162" s="709"/>
      <c r="I162" s="709"/>
      <c r="J162" s="710"/>
      <c r="K162" s="711" t="s">
        <v>224</v>
      </c>
      <c r="L162" s="709"/>
      <c r="M162" s="709"/>
      <c r="N162" s="709"/>
      <c r="O162" s="712" t="s">
        <v>225</v>
      </c>
      <c r="P162" s="713"/>
    </row>
    <row r="163" spans="4:16" ht="12.75">
      <c r="D163" s="707"/>
      <c r="E163" s="716" t="s">
        <v>198</v>
      </c>
      <c r="F163" s="717"/>
      <c r="G163" s="716" t="s">
        <v>226</v>
      </c>
      <c r="H163" s="717"/>
      <c r="I163" s="718" t="s">
        <v>158</v>
      </c>
      <c r="J163" s="717"/>
      <c r="K163" s="716" t="s">
        <v>216</v>
      </c>
      <c r="L163" s="718"/>
      <c r="M163" s="716" t="s">
        <v>215</v>
      </c>
      <c r="N163" s="718"/>
      <c r="O163" s="714"/>
      <c r="P163" s="715"/>
    </row>
    <row r="164" spans="4:16" ht="25.5">
      <c r="D164" s="708"/>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1" t="s">
        <v>120</v>
      </c>
      <c r="E5" s="692"/>
      <c r="F5" s="692"/>
      <c r="G5" s="692"/>
      <c r="H5" s="692"/>
      <c r="I5" s="692"/>
      <c r="J5" s="692"/>
      <c r="K5" s="692"/>
      <c r="L5" s="692"/>
      <c r="M5" s="692"/>
      <c r="N5" s="692"/>
      <c r="O5" s="692"/>
      <c r="P5" s="692"/>
      <c r="Q5" s="693"/>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N35" sqref="N35"/>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3</v>
      </c>
      <c r="G33" s="273">
        <f>G35/$F$35*$F$33</f>
        <v>2.3199999999999998</v>
      </c>
      <c r="H33" s="273">
        <f t="shared" ref="H33:M33" si="3">H35/$F$35*$F$33</f>
        <v>2.56</v>
      </c>
      <c r="I33" s="273">
        <f t="shared" si="3"/>
        <v>2.7199999999999998</v>
      </c>
      <c r="J33" s="273">
        <f t="shared" si="3"/>
        <v>2.8</v>
      </c>
      <c r="K33" s="273">
        <f t="shared" si="3"/>
        <v>2.8800000000000003</v>
      </c>
      <c r="L33" s="273">
        <f t="shared" si="3"/>
        <v>2.96</v>
      </c>
      <c r="M33" s="273">
        <f t="shared" si="3"/>
        <v>2.96</v>
      </c>
      <c r="N33" s="271">
        <f>+'EB1'!F50-53.1</f>
        <v>25.155519269999992</v>
      </c>
      <c r="P33" s="113" t="s">
        <v>649</v>
      </c>
      <c r="Y33" s="111"/>
    </row>
    <row r="34" spans="2:25">
      <c r="B34" s="111" t="str">
        <f t="shared" si="2"/>
        <v>MINCOL1</v>
      </c>
      <c r="C34" s="111"/>
      <c r="D34" s="111" t="s">
        <v>173</v>
      </c>
      <c r="E34" s="269"/>
      <c r="F34" s="273">
        <v>2.5</v>
      </c>
      <c r="G34" s="273">
        <f>G35/$F$35*$F$34</f>
        <v>1.9333333333333333</v>
      </c>
      <c r="H34" s="273">
        <f t="shared" ref="H34:M34" si="4">H35/$F$35*$F$34</f>
        <v>2.1333333333333333</v>
      </c>
      <c r="I34" s="273">
        <f t="shared" si="4"/>
        <v>2.2666666666666666</v>
      </c>
      <c r="J34" s="273">
        <f t="shared" si="4"/>
        <v>2.3333333333333335</v>
      </c>
      <c r="K34" s="273">
        <f t="shared" si="4"/>
        <v>2.4000000000000004</v>
      </c>
      <c r="L34" s="273">
        <f t="shared" si="4"/>
        <v>2.4666666666666668</v>
      </c>
      <c r="M34" s="273">
        <f t="shared" si="4"/>
        <v>2.4666666666666668</v>
      </c>
      <c r="N34" s="271">
        <f>'EB1'!G50</f>
        <v>5.5271047399999995</v>
      </c>
      <c r="P34" s="113" t="s">
        <v>650</v>
      </c>
    </row>
    <row r="35" spans="2:25">
      <c r="B35" s="111" t="str">
        <f t="shared" si="2"/>
        <v>IMPCOA1</v>
      </c>
      <c r="C35" s="111"/>
      <c r="D35" s="111" t="str">
        <f>$D$9</f>
        <v>COA</v>
      </c>
      <c r="E35" s="270"/>
      <c r="F35" s="273">
        <f>2.5*1.5</f>
        <v>3.75</v>
      </c>
      <c r="G35" s="273">
        <v>2.9</v>
      </c>
      <c r="H35" s="273">
        <v>3.2</v>
      </c>
      <c r="I35" s="273">
        <v>3.4</v>
      </c>
      <c r="J35" s="273">
        <v>3.5</v>
      </c>
      <c r="K35" s="273">
        <v>3.6</v>
      </c>
      <c r="L35" s="273">
        <v>3.7</v>
      </c>
      <c r="M35" s="273">
        <v>3.7</v>
      </c>
      <c r="N35" s="271">
        <f>+'EB1'!F51</f>
        <v>14.229226116021499</v>
      </c>
      <c r="P35" s="113" t="s">
        <v>651</v>
      </c>
    </row>
    <row r="36" spans="2:25">
      <c r="B36" s="111" t="str">
        <f t="shared" si="2"/>
        <v>IMPCOL1</v>
      </c>
      <c r="C36" s="111"/>
      <c r="D36" s="111" t="s">
        <v>173</v>
      </c>
      <c r="E36" s="270"/>
      <c r="F36" s="273">
        <f>2.4*1.5</f>
        <v>3.5999999999999996</v>
      </c>
      <c r="G36" s="273">
        <f>G35*$F$36/$F$35</f>
        <v>2.7839999999999998</v>
      </c>
      <c r="H36" s="273">
        <f t="shared" ref="H36:M36" si="5">H35*$F$36/$F$35</f>
        <v>3.0720000000000001</v>
      </c>
      <c r="I36" s="273">
        <f t="shared" si="5"/>
        <v>3.2639999999999998</v>
      </c>
      <c r="J36" s="273">
        <f t="shared" si="5"/>
        <v>3.3599999999999994</v>
      </c>
      <c r="K36" s="273">
        <f t="shared" si="5"/>
        <v>3.456</v>
      </c>
      <c r="L36" s="273">
        <f t="shared" si="5"/>
        <v>3.5519999999999996</v>
      </c>
      <c r="M36" s="273">
        <f t="shared" si="5"/>
        <v>3.5519999999999996</v>
      </c>
      <c r="N36" s="271">
        <v>0</v>
      </c>
    </row>
    <row r="37" spans="2:25">
      <c r="B37" s="111" t="str">
        <f t="shared" si="2"/>
        <v>EXPCOA1</v>
      </c>
      <c r="C37" s="111" t="str">
        <f>$D$9</f>
        <v>COA</v>
      </c>
      <c r="D37" s="111"/>
      <c r="E37" s="130"/>
      <c r="F37" s="273">
        <v>3.2</v>
      </c>
      <c r="G37" s="273">
        <f>G35/$F$35*$F$37</f>
        <v>2.4746666666666668</v>
      </c>
      <c r="H37" s="273">
        <f t="shared" ref="H37:M37" si="6">H35/$F$35*$F$37</f>
        <v>2.730666666666667</v>
      </c>
      <c r="I37" s="273">
        <f t="shared" si="6"/>
        <v>2.9013333333333335</v>
      </c>
      <c r="J37" s="273">
        <f t="shared" si="6"/>
        <v>2.9866666666666668</v>
      </c>
      <c r="K37" s="273">
        <f t="shared" si="6"/>
        <v>3.0720000000000005</v>
      </c>
      <c r="L37" s="273">
        <f t="shared" si="6"/>
        <v>3.1573333333333338</v>
      </c>
      <c r="M37" s="273">
        <f t="shared" si="6"/>
        <v>3.1573333333333338</v>
      </c>
      <c r="N37" s="271">
        <v>0</v>
      </c>
    </row>
    <row r="38" spans="2:25">
      <c r="B38" s="111" t="str">
        <f t="shared" si="2"/>
        <v>EXPCOL1</v>
      </c>
      <c r="C38" s="111" t="s">
        <v>173</v>
      </c>
      <c r="D38" s="111"/>
      <c r="E38" s="130"/>
      <c r="F38" s="273">
        <v>3</v>
      </c>
      <c r="G38" s="273">
        <f>G35/$F$35*$F$38</f>
        <v>2.3199999999999998</v>
      </c>
      <c r="H38" s="273">
        <f t="shared" ref="H38:M38" si="7">H35/$F$35*$F$38</f>
        <v>2.56</v>
      </c>
      <c r="I38" s="273">
        <f t="shared" si="7"/>
        <v>2.7199999999999998</v>
      </c>
      <c r="J38" s="273">
        <f t="shared" si="7"/>
        <v>2.8</v>
      </c>
      <c r="K38" s="273">
        <f t="shared" si="7"/>
        <v>2.8800000000000003</v>
      </c>
      <c r="L38" s="273">
        <f t="shared" si="7"/>
        <v>2.96</v>
      </c>
      <c r="M38" s="273">
        <f t="shared" si="7"/>
        <v>2.96</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5"/>
  <sheetViews>
    <sheetView topLeftCell="D7" zoomScale="85" zoomScaleNormal="85" workbookViewId="0">
      <selection activeCell="G18" sqref="G1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515"/>
      <c r="J7" s="515"/>
      <c r="K7" s="515"/>
      <c r="L7" s="515"/>
      <c r="M7" s="515"/>
    </row>
    <row r="8" spans="2:18">
      <c r="D8" s="121"/>
      <c r="F8" s="121"/>
      <c r="I8" s="115" t="s">
        <v>15</v>
      </c>
      <c r="J8" s="115"/>
      <c r="K8" s="116"/>
      <c r="L8" s="116"/>
      <c r="M8" s="116"/>
      <c r="N8" s="116"/>
      <c r="O8" s="116"/>
      <c r="P8" s="116"/>
      <c r="Q8" s="116"/>
    </row>
    <row r="9" spans="2:18">
      <c r="B9" s="122"/>
      <c r="C9" s="123"/>
      <c r="D9" s="122"/>
      <c r="E9" s="124"/>
      <c r="F9" s="124"/>
      <c r="G9" s="124"/>
      <c r="I9" s="117" t="s">
        <v>11</v>
      </c>
      <c r="J9" s="118" t="s">
        <v>30</v>
      </c>
      <c r="K9" s="117" t="s">
        <v>1</v>
      </c>
      <c r="L9" s="117" t="s">
        <v>2</v>
      </c>
      <c r="M9" s="117" t="s">
        <v>16</v>
      </c>
      <c r="N9" s="117" t="s">
        <v>17</v>
      </c>
      <c r="O9" s="117" t="s">
        <v>18</v>
      </c>
      <c r="P9" s="117" t="s">
        <v>19</v>
      </c>
      <c r="Q9" s="117" t="s">
        <v>20</v>
      </c>
    </row>
    <row r="10" spans="2:18" s="111" customFormat="1" ht="36.75" thickBot="1">
      <c r="B10" s="125"/>
      <c r="C10" s="125"/>
      <c r="D10" s="125"/>
      <c r="E10" s="125"/>
      <c r="F10" s="125"/>
      <c r="G10" s="125"/>
      <c r="I10" s="119" t="s">
        <v>38</v>
      </c>
      <c r="J10" s="119" t="s">
        <v>31</v>
      </c>
      <c r="K10" s="119" t="s">
        <v>21</v>
      </c>
      <c r="L10" s="119" t="s">
        <v>22</v>
      </c>
      <c r="M10" s="119" t="s">
        <v>23</v>
      </c>
      <c r="N10" s="119" t="s">
        <v>24</v>
      </c>
      <c r="O10" s="119" t="s">
        <v>43</v>
      </c>
      <c r="P10" s="119" t="s">
        <v>42</v>
      </c>
      <c r="Q10" s="119" t="s">
        <v>25</v>
      </c>
    </row>
    <row r="11" spans="2:18" s="111" customFormat="1" ht="12.75" thickBot="1">
      <c r="B11" s="125"/>
      <c r="C11" s="126"/>
      <c r="D11" s="126"/>
      <c r="E11" s="126"/>
      <c r="F11" s="126"/>
      <c r="G11" s="126"/>
      <c r="I11" s="119" t="s">
        <v>73</v>
      </c>
      <c r="J11" s="127"/>
      <c r="K11" s="127"/>
      <c r="L11" s="127"/>
      <c r="M11" s="127"/>
      <c r="N11" s="127"/>
      <c r="O11" s="127"/>
      <c r="P11" s="127"/>
      <c r="Q11" s="127"/>
    </row>
    <row r="12" spans="2:18" s="111" customFormat="1">
      <c r="E12" s="128"/>
      <c r="F12" s="297"/>
      <c r="G12" s="128"/>
      <c r="I12" s="120" t="str">
        <f>'EB1'!$B$5</f>
        <v>MIN</v>
      </c>
      <c r="J12" s="120"/>
      <c r="K12" s="357" t="s">
        <v>356</v>
      </c>
      <c r="L12" s="129" t="s">
        <v>639</v>
      </c>
      <c r="M12" s="120" t="str">
        <f>$E$2</f>
        <v>PJ</v>
      </c>
      <c r="N12" s="120" t="str">
        <f>$E$2&amp;"a"</f>
        <v>PJa</v>
      </c>
      <c r="O12" s="120"/>
      <c r="P12" s="120"/>
      <c r="Q12" s="120"/>
    </row>
    <row r="13" spans="2:18">
      <c r="B13" s="111"/>
      <c r="C13" s="111"/>
      <c r="D13" s="111"/>
      <c r="E13" s="130"/>
      <c r="F13" s="297"/>
      <c r="G13" s="128"/>
      <c r="H13" s="111"/>
      <c r="I13" s="116" t="str">
        <f>+I12</f>
        <v>MIN</v>
      </c>
      <c r="K13" s="357" t="s">
        <v>614</v>
      </c>
      <c r="L13" s="129" t="s">
        <v>640</v>
      </c>
      <c r="M13" s="515" t="str">
        <f t="shared" ref="M13:M15" si="0">$E$2</f>
        <v>PJ</v>
      </c>
      <c r="N13" s="515" t="str">
        <f t="shared" ref="N13:N15" si="1">$E$2&amp;"a"</f>
        <v>PJa</v>
      </c>
      <c r="O13" s="120"/>
      <c r="P13" s="120"/>
      <c r="Q13" s="120"/>
      <c r="R13" s="111"/>
    </row>
    <row r="14" spans="2:18">
      <c r="B14" s="111"/>
      <c r="C14" s="111"/>
      <c r="D14" s="111"/>
      <c r="E14" s="130"/>
      <c r="F14" s="297"/>
      <c r="G14" s="128"/>
      <c r="I14" s="116" t="str">
        <f t="shared" ref="I14:I15" si="2">+I13</f>
        <v>MIN</v>
      </c>
      <c r="K14" s="357" t="s">
        <v>615</v>
      </c>
      <c r="L14" s="129" t="s">
        <v>641</v>
      </c>
      <c r="M14" s="515" t="str">
        <f t="shared" si="0"/>
        <v>PJ</v>
      </c>
      <c r="N14" s="515" t="str">
        <f t="shared" si="1"/>
        <v>PJa</v>
      </c>
      <c r="O14" s="120"/>
      <c r="P14" s="120"/>
      <c r="Q14" s="120"/>
    </row>
    <row r="15" spans="2:18" s="358" customFormat="1">
      <c r="C15" s="357"/>
      <c r="D15" s="357"/>
      <c r="E15" s="357"/>
      <c r="F15" s="131"/>
      <c r="I15" s="116" t="str">
        <f t="shared" si="2"/>
        <v>MIN</v>
      </c>
      <c r="K15" s="357" t="s">
        <v>616</v>
      </c>
      <c r="L15" s="129" t="s">
        <v>642</v>
      </c>
      <c r="M15" s="515" t="str">
        <f t="shared" si="0"/>
        <v>PJ</v>
      </c>
      <c r="N15" s="515" t="str">
        <f t="shared" si="1"/>
        <v>PJa</v>
      </c>
      <c r="O15" s="357"/>
      <c r="P15" s="357"/>
      <c r="Q15" s="357"/>
    </row>
    <row r="16" spans="2:18" s="358" customFormat="1">
      <c r="C16" s="357"/>
      <c r="D16" s="357"/>
      <c r="E16" s="357"/>
      <c r="F16" s="131"/>
      <c r="I16" s="120" t="str">
        <f>'EB1'!$B$6</f>
        <v>IMP</v>
      </c>
      <c r="J16" s="120"/>
      <c r="K16" s="120" t="str">
        <f>$I$16&amp;$K$6&amp;1</f>
        <v>IMPLNG1</v>
      </c>
      <c r="L16" s="129"/>
      <c r="M16" s="120" t="str">
        <f>$E$2</f>
        <v>PJ</v>
      </c>
      <c r="N16" s="120" t="str">
        <f>$E$2&amp;"a"</f>
        <v>PJa</v>
      </c>
      <c r="O16" s="357"/>
      <c r="P16" s="357"/>
      <c r="Q16" s="357"/>
    </row>
    <row r="17" spans="2:26" s="358" customFormat="1">
      <c r="C17" s="357"/>
      <c r="D17" s="357"/>
      <c r="E17" s="357"/>
      <c r="F17" s="131"/>
      <c r="I17" s="120" t="str">
        <f>'EB1'!B7</f>
        <v>EXP</v>
      </c>
      <c r="J17" s="120"/>
      <c r="K17" s="120" t="str">
        <f>$I$17&amp;$C$2&amp;1</f>
        <v>EXPNGA1</v>
      </c>
      <c r="L17" s="129"/>
      <c r="M17" s="120" t="str">
        <f>$E$2</f>
        <v>PJ</v>
      </c>
      <c r="N17" s="120" t="str">
        <f>$E$2&amp;"a"</f>
        <v>PJa</v>
      </c>
      <c r="O17" s="357"/>
      <c r="P17" s="357"/>
      <c r="Q17" s="357"/>
    </row>
    <row r="18" spans="2:26" s="358" customFormat="1">
      <c r="C18" s="357"/>
      <c r="D18" s="357"/>
      <c r="E18" s="357"/>
      <c r="F18" s="131"/>
      <c r="I18" s="515" t="str">
        <f>+I17</f>
        <v>EXP</v>
      </c>
      <c r="J18" s="357"/>
      <c r="K18" s="357" t="s">
        <v>525</v>
      </c>
      <c r="L18" s="357"/>
      <c r="M18" s="120" t="str">
        <f t="shared" ref="M18" si="3">$E$2</f>
        <v>PJ</v>
      </c>
      <c r="N18" s="120" t="str">
        <f t="shared" ref="N18" si="4">$E$2&amp;"a"</f>
        <v>PJa</v>
      </c>
      <c r="O18" s="357"/>
      <c r="P18" s="357"/>
      <c r="Q18" s="357"/>
    </row>
    <row r="19" spans="2:26" s="358" customFormat="1">
      <c r="C19" s="357"/>
      <c r="D19" s="357"/>
      <c r="E19" s="357"/>
      <c r="F19" s="131"/>
      <c r="I19" s="515" t="s">
        <v>87</v>
      </c>
      <c r="J19" s="357"/>
      <c r="K19" s="357" t="s">
        <v>701</v>
      </c>
      <c r="L19" s="357" t="s">
        <v>536</v>
      </c>
      <c r="M19" s="515" t="s">
        <v>69</v>
      </c>
      <c r="N19" s="515" t="s">
        <v>537</v>
      </c>
      <c r="O19" s="357"/>
      <c r="P19" s="357"/>
      <c r="Q19" s="357"/>
    </row>
    <row r="20" spans="2:26" s="358" customFormat="1">
      <c r="C20" s="357"/>
      <c r="D20" s="357"/>
      <c r="E20" s="357"/>
      <c r="F20" s="131"/>
      <c r="I20" s="120"/>
      <c r="J20" s="357"/>
      <c r="K20" s="357"/>
      <c r="L20" s="357"/>
      <c r="M20" s="357"/>
      <c r="N20" s="357"/>
      <c r="O20" s="357"/>
      <c r="P20" s="357"/>
      <c r="Q20" s="357"/>
    </row>
    <row r="21" spans="2:26" s="111" customFormat="1">
      <c r="H21" s="113"/>
      <c r="R21" s="113"/>
    </row>
    <row r="22" spans="2:26" s="111" customFormat="1">
      <c r="I22" s="358"/>
      <c r="J22" s="358"/>
      <c r="K22" s="359" t="s">
        <v>13</v>
      </c>
      <c r="L22" s="358"/>
      <c r="M22" s="359"/>
      <c r="N22" s="357"/>
      <c r="O22" s="357"/>
      <c r="P22" s="357"/>
      <c r="Q22" s="357"/>
      <c r="R22" s="357"/>
      <c r="S22" s="357"/>
      <c r="T22" s="357"/>
      <c r="U22" s="357"/>
    </row>
    <row r="23" spans="2:26" s="111" customFormat="1" ht="24">
      <c r="C23" s="113"/>
      <c r="D23" s="113"/>
      <c r="E23" s="113"/>
      <c r="F23" s="113"/>
      <c r="G23" s="113"/>
      <c r="I23" s="360" t="s">
        <v>1</v>
      </c>
      <c r="J23" s="361" t="s">
        <v>5</v>
      </c>
      <c r="K23" s="360" t="s">
        <v>6</v>
      </c>
      <c r="L23" s="362" t="s">
        <v>34</v>
      </c>
      <c r="M23" s="362" t="s">
        <v>35</v>
      </c>
      <c r="N23" s="362" t="s">
        <v>695</v>
      </c>
      <c r="O23" s="362" t="s">
        <v>349</v>
      </c>
      <c r="P23" s="362" t="s">
        <v>350</v>
      </c>
      <c r="Q23" s="362" t="s">
        <v>351</v>
      </c>
      <c r="R23" s="362" t="s">
        <v>352</v>
      </c>
      <c r="S23" s="362" t="s">
        <v>353</v>
      </c>
      <c r="T23" s="362" t="s">
        <v>354</v>
      </c>
      <c r="U23" s="362" t="s">
        <v>72</v>
      </c>
      <c r="V23" s="362" t="s">
        <v>824</v>
      </c>
      <c r="W23" s="362" t="s">
        <v>507</v>
      </c>
      <c r="X23" s="362" t="s">
        <v>74</v>
      </c>
      <c r="Y23" s="362"/>
      <c r="Z23" s="362"/>
    </row>
    <row r="24" spans="2:26" s="111" customFormat="1" ht="36.75" thickBot="1">
      <c r="C24" s="113"/>
      <c r="D24" s="113"/>
      <c r="E24" s="113"/>
      <c r="F24" s="113"/>
      <c r="G24" s="113"/>
      <c r="I24" s="363" t="s">
        <v>39</v>
      </c>
      <c r="J24" s="363" t="s">
        <v>32</v>
      </c>
      <c r="K24" s="363" t="s">
        <v>33</v>
      </c>
      <c r="L24" s="363" t="s">
        <v>36</v>
      </c>
      <c r="M24" s="363" t="s">
        <v>79</v>
      </c>
      <c r="N24" s="370" t="s">
        <v>79</v>
      </c>
      <c r="O24" s="370" t="s">
        <v>79</v>
      </c>
      <c r="P24" s="370" t="s">
        <v>79</v>
      </c>
      <c r="Q24" s="370" t="s">
        <v>79</v>
      </c>
      <c r="R24" s="370" t="s">
        <v>79</v>
      </c>
      <c r="S24" s="370" t="s">
        <v>79</v>
      </c>
      <c r="T24" s="370" t="s">
        <v>79</v>
      </c>
      <c r="U24" s="363" t="s">
        <v>78</v>
      </c>
      <c r="V24" s="363" t="s">
        <v>78</v>
      </c>
      <c r="W24" s="363" t="s">
        <v>78</v>
      </c>
    </row>
    <row r="25" spans="2:26" s="111" customFormat="1" ht="24.75" thickBot="1">
      <c r="B25" s="113"/>
      <c r="C25" s="113"/>
      <c r="D25" s="113"/>
      <c r="E25" s="113"/>
      <c r="F25" s="113"/>
      <c r="G25" s="113"/>
      <c r="I25" s="363" t="s">
        <v>77</v>
      </c>
      <c r="J25" s="364"/>
      <c r="K25" s="364"/>
      <c r="L25" s="364" t="s">
        <v>69</v>
      </c>
      <c r="M25" s="364" t="s">
        <v>355</v>
      </c>
      <c r="N25" s="371"/>
      <c r="O25" s="371"/>
      <c r="P25" s="371"/>
      <c r="Q25" s="371"/>
      <c r="R25" s="371"/>
      <c r="S25" s="371"/>
      <c r="T25" s="371"/>
      <c r="U25" s="364" t="s">
        <v>69</v>
      </c>
      <c r="V25" s="364" t="s">
        <v>69</v>
      </c>
      <c r="W25" s="364" t="s">
        <v>69</v>
      </c>
    </row>
    <row r="26" spans="2:26">
      <c r="B26" s="113" t="s">
        <v>193</v>
      </c>
      <c r="I26" s="357" t="s">
        <v>356</v>
      </c>
      <c r="J26" s="357"/>
      <c r="K26" s="357" t="s">
        <v>178</v>
      </c>
      <c r="L26" s="365">
        <f>+J58</f>
        <v>2049.628052306</v>
      </c>
      <c r="M26" s="369">
        <f>+K58</f>
        <v>5</v>
      </c>
      <c r="N26" s="368">
        <f>+M26*N$30/M$30</f>
        <v>6.3253012048192767</v>
      </c>
      <c r="O26" s="368">
        <f t="shared" ref="O26:T26" si="5">+N26*O$30/N$30</f>
        <v>7.8313253012048181</v>
      </c>
      <c r="P26" s="368">
        <f t="shared" si="5"/>
        <v>9.4578313253012034</v>
      </c>
      <c r="Q26" s="368">
        <f t="shared" si="5"/>
        <v>10</v>
      </c>
      <c r="R26" s="368">
        <f t="shared" si="5"/>
        <v>10.602409638554215</v>
      </c>
      <c r="S26" s="368">
        <f t="shared" si="5"/>
        <v>11.987951807228912</v>
      </c>
      <c r="T26" s="368">
        <f t="shared" si="5"/>
        <v>12.048192771084334</v>
      </c>
      <c r="U26" s="571">
        <f>+'EB1'!Q50+20</f>
        <v>194.62462227447941</v>
      </c>
      <c r="V26" s="113">
        <f>+L41</f>
        <v>220</v>
      </c>
      <c r="W26" s="113">
        <f>+V26</f>
        <v>220</v>
      </c>
    </row>
    <row r="27" spans="2:26" s="358" customFormat="1">
      <c r="I27" s="357" t="s">
        <v>614</v>
      </c>
      <c r="J27" s="357"/>
      <c r="K27" s="357" t="s">
        <v>178</v>
      </c>
      <c r="L27" s="365">
        <f>+J60</f>
        <v>784.19056873637919</v>
      </c>
      <c r="M27" s="369">
        <f>+K60</f>
        <v>8</v>
      </c>
      <c r="N27" s="368">
        <f t="shared" ref="N27:T29" si="6">+M27*N$30/M$30</f>
        <v>10.120481927710843</v>
      </c>
      <c r="O27" s="368">
        <f t="shared" si="6"/>
        <v>12.53012048192771</v>
      </c>
      <c r="P27" s="368">
        <f t="shared" si="6"/>
        <v>15.132530120481928</v>
      </c>
      <c r="Q27" s="368">
        <f t="shared" si="6"/>
        <v>16.000000000000004</v>
      </c>
      <c r="R27" s="368">
        <f t="shared" si="6"/>
        <v>16.963855421686752</v>
      </c>
      <c r="S27" s="368">
        <f t="shared" si="6"/>
        <v>19.180722891566266</v>
      </c>
      <c r="T27" s="368">
        <f t="shared" si="6"/>
        <v>19.277108433734941</v>
      </c>
      <c r="U27" s="365">
        <v>0</v>
      </c>
      <c r="V27" s="358">
        <v>0</v>
      </c>
      <c r="W27" s="358">
        <v>100</v>
      </c>
    </row>
    <row r="28" spans="2:26" s="358" customFormat="1">
      <c r="I28" s="357" t="s">
        <v>615</v>
      </c>
      <c r="J28" s="357"/>
      <c r="K28" s="357" t="s">
        <v>178</v>
      </c>
      <c r="L28" s="365">
        <f>+J62</f>
        <v>1529.590852475199</v>
      </c>
      <c r="M28" s="369">
        <f>+K62</f>
        <v>7</v>
      </c>
      <c r="N28" s="368">
        <f t="shared" si="6"/>
        <v>8.8554216867469879</v>
      </c>
      <c r="O28" s="368">
        <f t="shared" si="6"/>
        <v>10.963855421686747</v>
      </c>
      <c r="P28" s="368">
        <f t="shared" si="6"/>
        <v>13.240963855421684</v>
      </c>
      <c r="Q28" s="368">
        <f t="shared" si="6"/>
        <v>14</v>
      </c>
      <c r="R28" s="368">
        <f t="shared" si="6"/>
        <v>14.843373493975905</v>
      </c>
      <c r="S28" s="368">
        <f t="shared" si="6"/>
        <v>16.783132530120483</v>
      </c>
      <c r="T28" s="368">
        <f t="shared" si="6"/>
        <v>16.867469879518076</v>
      </c>
      <c r="U28" s="365">
        <v>0</v>
      </c>
      <c r="V28" s="358">
        <v>0</v>
      </c>
      <c r="W28" s="358">
        <v>100</v>
      </c>
    </row>
    <row r="29" spans="2:26" s="358" customFormat="1">
      <c r="I29" s="357" t="s">
        <v>616</v>
      </c>
      <c r="J29" s="357"/>
      <c r="K29" s="357" t="s">
        <v>178</v>
      </c>
      <c r="L29" s="365">
        <f>+J64</f>
        <v>700</v>
      </c>
      <c r="M29" s="369">
        <f>+K64</f>
        <v>8</v>
      </c>
      <c r="N29" s="368">
        <f t="shared" si="6"/>
        <v>10.120481927710843</v>
      </c>
      <c r="O29" s="368">
        <f t="shared" si="6"/>
        <v>12.53012048192771</v>
      </c>
      <c r="P29" s="368">
        <f t="shared" si="6"/>
        <v>15.132530120481928</v>
      </c>
      <c r="Q29" s="368">
        <f t="shared" si="6"/>
        <v>16.000000000000004</v>
      </c>
      <c r="R29" s="368">
        <f t="shared" si="6"/>
        <v>16.963855421686752</v>
      </c>
      <c r="S29" s="368">
        <f t="shared" si="6"/>
        <v>19.180722891566266</v>
      </c>
      <c r="T29" s="368">
        <f t="shared" si="6"/>
        <v>19.277108433734941</v>
      </c>
      <c r="U29" s="365">
        <v>0</v>
      </c>
      <c r="V29" s="358">
        <v>0</v>
      </c>
      <c r="W29" s="358">
        <v>100</v>
      </c>
    </row>
    <row r="30" spans="2:26">
      <c r="B30" s="113" t="s">
        <v>214</v>
      </c>
      <c r="I30" s="515" t="str">
        <f>+K16</f>
        <v>IMPLNG1</v>
      </c>
      <c r="J30" s="357"/>
      <c r="K30" s="357" t="s">
        <v>538</v>
      </c>
      <c r="L30" s="366"/>
      <c r="M30" s="369">
        <v>8.3000000000000007</v>
      </c>
      <c r="N30" s="368">
        <v>10.5</v>
      </c>
      <c r="O30" s="368">
        <v>13</v>
      </c>
      <c r="P30" s="368">
        <v>15.7</v>
      </c>
      <c r="Q30" s="368">
        <v>16.600000000000001</v>
      </c>
      <c r="R30" s="368">
        <v>17.600000000000001</v>
      </c>
      <c r="S30" s="368">
        <v>19.899999999999999</v>
      </c>
      <c r="T30" s="368">
        <v>20</v>
      </c>
      <c r="U30" s="365">
        <v>0</v>
      </c>
      <c r="V30" s="113">
        <v>0</v>
      </c>
      <c r="W30" s="113">
        <v>170</v>
      </c>
    </row>
    <row r="31" spans="2:26">
      <c r="I31" s="357" t="s">
        <v>357</v>
      </c>
      <c r="J31" s="357" t="s">
        <v>178</v>
      </c>
      <c r="K31" s="357"/>
      <c r="L31" s="366"/>
      <c r="M31" s="369">
        <v>6.6400000000000006</v>
      </c>
      <c r="N31" s="369">
        <v>8.4</v>
      </c>
      <c r="O31" s="369">
        <v>10.4</v>
      </c>
      <c r="P31" s="369">
        <v>12.56</v>
      </c>
      <c r="Q31" s="369">
        <v>13.280000000000001</v>
      </c>
      <c r="R31" s="369">
        <v>14.080000000000002</v>
      </c>
      <c r="S31" s="369">
        <v>15.92</v>
      </c>
      <c r="T31" s="369">
        <v>16</v>
      </c>
      <c r="U31" s="365">
        <v>0</v>
      </c>
      <c r="V31" s="113">
        <v>0</v>
      </c>
      <c r="W31" s="113">
        <v>0</v>
      </c>
    </row>
    <row r="32" spans="2:26" s="111" customFormat="1">
      <c r="B32" s="113"/>
      <c r="C32" s="113"/>
      <c r="D32" s="113"/>
      <c r="E32" s="113"/>
      <c r="F32" s="113"/>
      <c r="G32" s="113"/>
      <c r="I32" s="358" t="str">
        <f>+K18</f>
        <v>Non_NRG_OTH</v>
      </c>
      <c r="J32" s="113" t="s">
        <v>177</v>
      </c>
      <c r="K32" s="113"/>
      <c r="L32" s="113"/>
      <c r="M32" s="113"/>
      <c r="N32" s="113"/>
      <c r="O32" s="358"/>
      <c r="P32" s="358"/>
      <c r="Q32" s="358"/>
      <c r="R32" s="358"/>
      <c r="S32" s="358"/>
      <c r="T32" s="358"/>
      <c r="X32" s="111">
        <v>1</v>
      </c>
      <c r="Z32" s="357"/>
    </row>
    <row r="33" spans="2:20" s="357" customFormat="1">
      <c r="B33" s="358"/>
      <c r="C33" s="358"/>
      <c r="D33" s="358"/>
      <c r="E33" s="358"/>
      <c r="F33" s="358"/>
      <c r="G33" s="358"/>
      <c r="I33" s="358"/>
      <c r="J33" s="358"/>
      <c r="K33" s="358"/>
      <c r="L33" s="358"/>
      <c r="M33" s="358"/>
      <c r="N33" s="358"/>
      <c r="O33" s="358"/>
      <c r="P33" s="358"/>
      <c r="Q33" s="358"/>
      <c r="R33" s="358"/>
      <c r="S33" s="358"/>
      <c r="T33" s="358"/>
    </row>
    <row r="34" spans="2:20" s="357" customFormat="1">
      <c r="B34" s="358"/>
      <c r="C34" s="358"/>
      <c r="D34" s="358"/>
      <c r="E34" s="358"/>
      <c r="F34" s="358"/>
      <c r="G34" s="358"/>
      <c r="O34" s="358"/>
      <c r="P34" s="358"/>
      <c r="Q34" s="358"/>
    </row>
    <row r="35" spans="2:20" s="357" customFormat="1">
      <c r="B35" s="358"/>
      <c r="C35" s="358"/>
      <c r="D35" s="358"/>
      <c r="E35" s="358"/>
      <c r="F35" s="358"/>
      <c r="G35" s="358"/>
      <c r="I35" s="358"/>
      <c r="J35" s="358"/>
      <c r="K35" s="359" t="s">
        <v>13</v>
      </c>
      <c r="M35" s="359"/>
      <c r="O35" s="358"/>
      <c r="P35" s="358"/>
      <c r="Q35" s="358"/>
    </row>
    <row r="36" spans="2:20" s="357" customFormat="1" ht="24">
      <c r="B36" s="358"/>
      <c r="C36" s="358"/>
      <c r="D36" s="358"/>
      <c r="E36" s="358"/>
      <c r="F36" s="358"/>
      <c r="G36" s="358"/>
      <c r="I36" s="360" t="s">
        <v>1</v>
      </c>
      <c r="J36" s="361" t="s">
        <v>5</v>
      </c>
      <c r="K36" s="360" t="s">
        <v>6</v>
      </c>
      <c r="L36" s="362" t="s">
        <v>539</v>
      </c>
      <c r="M36" s="362" t="s">
        <v>823</v>
      </c>
      <c r="N36" s="362" t="s">
        <v>368</v>
      </c>
      <c r="O36" s="362" t="s">
        <v>700</v>
      </c>
      <c r="P36" s="362" t="s">
        <v>540</v>
      </c>
      <c r="Q36" s="362" t="s">
        <v>387</v>
      </c>
      <c r="R36" s="362" t="s">
        <v>542</v>
      </c>
    </row>
    <row r="37" spans="2:20" s="111" customFormat="1" ht="48.75" thickBot="1">
      <c r="B37" s="113"/>
      <c r="C37" s="113"/>
      <c r="D37" s="113"/>
      <c r="E37" s="113"/>
      <c r="F37" s="113"/>
      <c r="G37" s="113"/>
      <c r="I37" s="363" t="s">
        <v>39</v>
      </c>
      <c r="J37" s="363" t="s">
        <v>32</v>
      </c>
      <c r="K37" s="363" t="s">
        <v>33</v>
      </c>
      <c r="L37" s="363" t="s">
        <v>36</v>
      </c>
      <c r="M37" s="363" t="s">
        <v>488</v>
      </c>
      <c r="N37" s="363" t="s">
        <v>79</v>
      </c>
      <c r="O37" s="363" t="s">
        <v>78</v>
      </c>
      <c r="P37" s="363" t="s">
        <v>78</v>
      </c>
      <c r="Q37" s="363" t="s">
        <v>78</v>
      </c>
      <c r="R37" s="363" t="s">
        <v>76</v>
      </c>
    </row>
    <row r="38" spans="2:20" s="111" customFormat="1">
      <c r="B38" s="113"/>
      <c r="C38" s="113"/>
      <c r="D38" s="113"/>
      <c r="E38" s="113"/>
      <c r="F38" s="113"/>
      <c r="G38" s="113"/>
      <c r="I38" s="113" t="str">
        <f>+K19</f>
        <v>LNGport2021</v>
      </c>
      <c r="J38" s="113" t="str">
        <f>+K30</f>
        <v>LNG</v>
      </c>
      <c r="K38" s="113" t="str">
        <f>+K26</f>
        <v>NGA</v>
      </c>
      <c r="L38" s="113">
        <v>2025</v>
      </c>
      <c r="M38" s="358">
        <v>0</v>
      </c>
      <c r="N38" s="367">
        <f>600*1.02^6/85</f>
        <v>7.9493817830400006</v>
      </c>
      <c r="O38" s="113">
        <v>170</v>
      </c>
      <c r="P38" s="113">
        <v>170</v>
      </c>
      <c r="Q38" s="113">
        <v>5</v>
      </c>
      <c r="R38" s="358">
        <v>1</v>
      </c>
    </row>
    <row r="39" spans="2:20" s="111" customFormat="1">
      <c r="B39" s="113"/>
      <c r="C39" s="113"/>
      <c r="D39" s="113"/>
      <c r="E39" s="113"/>
      <c r="F39" s="113"/>
      <c r="G39" s="113"/>
      <c r="I39" s="113"/>
      <c r="J39" s="113"/>
      <c r="K39" s="113"/>
      <c r="L39" s="113"/>
      <c r="M39" s="113"/>
      <c r="N39" s="113"/>
      <c r="O39" s="113"/>
      <c r="P39" s="113"/>
      <c r="Q39" s="113"/>
    </row>
    <row r="40" spans="2:20" s="111" customFormat="1">
      <c r="B40" s="113"/>
      <c r="C40" s="113"/>
      <c r="D40" s="113"/>
      <c r="E40" s="113"/>
      <c r="F40" s="113"/>
      <c r="G40" s="113"/>
      <c r="I40" s="517"/>
      <c r="J40" s="517" t="s">
        <v>482</v>
      </c>
      <c r="K40" s="517"/>
      <c r="L40" s="517" t="s">
        <v>484</v>
      </c>
      <c r="M40" s="113"/>
      <c r="N40" s="113"/>
      <c r="O40" s="113"/>
      <c r="P40" s="113"/>
      <c r="Q40" s="113"/>
    </row>
    <row r="41" spans="2:20" s="111" customFormat="1">
      <c r="B41" s="113"/>
      <c r="C41" s="113"/>
      <c r="D41" s="113"/>
      <c r="E41" s="113"/>
      <c r="F41" s="113"/>
      <c r="G41" s="113"/>
      <c r="I41" s="518" t="s">
        <v>481</v>
      </c>
      <c r="J41" s="517">
        <v>2079</v>
      </c>
      <c r="K41" s="517" t="s">
        <v>483</v>
      </c>
      <c r="L41" s="517">
        <v>220</v>
      </c>
      <c r="M41" s="113"/>
      <c r="N41" s="113" t="s">
        <v>653</v>
      </c>
      <c r="O41" s="113"/>
      <c r="P41" s="113"/>
      <c r="Q41" s="113"/>
    </row>
    <row r="42" spans="2:20" s="111" customFormat="1">
      <c r="B42" s="113"/>
      <c r="C42" s="113"/>
      <c r="D42" s="113"/>
      <c r="E42" s="113"/>
      <c r="F42" s="113"/>
      <c r="G42" s="113"/>
      <c r="I42" s="518" t="s">
        <v>332</v>
      </c>
      <c r="J42" s="517">
        <v>2009</v>
      </c>
      <c r="K42" s="517"/>
      <c r="L42" s="517"/>
      <c r="M42" s="113"/>
      <c r="N42" s="113"/>
      <c r="O42" s="113"/>
      <c r="P42" s="113"/>
      <c r="Q42" s="113"/>
    </row>
    <row r="43" spans="2:20">
      <c r="H43" s="111"/>
      <c r="I43" s="518" t="s">
        <v>95</v>
      </c>
      <c r="J43" s="517">
        <v>70</v>
      </c>
      <c r="K43" s="517"/>
      <c r="L43" s="517"/>
      <c r="R43" s="111"/>
    </row>
    <row r="45" spans="2:20" ht="21">
      <c r="I45" s="516" t="s">
        <v>500</v>
      </c>
      <c r="J45" s="113" t="s">
        <v>497</v>
      </c>
    </row>
    <row r="46" spans="2:20" ht="12.75" thickBot="1">
      <c r="J46" s="519" t="s">
        <v>498</v>
      </c>
      <c r="K46" s="519" t="s">
        <v>499</v>
      </c>
      <c r="L46" s="519" t="s">
        <v>69</v>
      </c>
    </row>
    <row r="47" spans="2:20" ht="15" thickBot="1">
      <c r="I47" s="478" t="s">
        <v>501</v>
      </c>
      <c r="J47" s="113">
        <v>67696.3</v>
      </c>
      <c r="K47" s="113">
        <v>2390.6999999999998</v>
      </c>
      <c r="L47" s="113">
        <v>2696.8</v>
      </c>
    </row>
    <row r="48" spans="2:20" ht="15" thickBot="1">
      <c r="I48" s="478" t="s">
        <v>502</v>
      </c>
      <c r="J48" s="113">
        <v>67152.800000000003</v>
      </c>
      <c r="K48" s="113">
        <v>2371.5</v>
      </c>
      <c r="L48" s="113">
        <v>2457.9</v>
      </c>
    </row>
    <row r="49" spans="9:14" ht="14.25">
      <c r="I49" s="477"/>
    </row>
    <row r="50" spans="9:14" ht="17.25">
      <c r="I50" s="479" t="s">
        <v>503</v>
      </c>
    </row>
    <row r="51" spans="9:14" ht="17.25">
      <c r="I51" s="479" t="s">
        <v>504</v>
      </c>
    </row>
    <row r="52" spans="9:14" ht="14.25">
      <c r="I52" s="479" t="s">
        <v>505</v>
      </c>
    </row>
    <row r="56" spans="9:14" ht="12.75" thickBot="1">
      <c r="I56" s="113" t="s">
        <v>629</v>
      </c>
    </row>
    <row r="57" spans="9:14" ht="57.75" thickBot="1">
      <c r="I57" s="547" t="s">
        <v>617</v>
      </c>
      <c r="J57" s="551" t="s">
        <v>618</v>
      </c>
      <c r="K57" s="548" t="s">
        <v>619</v>
      </c>
      <c r="L57" s="548" t="s">
        <v>620</v>
      </c>
      <c r="M57" s="548" t="s">
        <v>621</v>
      </c>
      <c r="N57" s="551" t="s">
        <v>622</v>
      </c>
    </row>
    <row r="58" spans="9:14" ht="14.25">
      <c r="I58" s="694" t="s">
        <v>623</v>
      </c>
      <c r="J58" s="697">
        <v>2049.628052306</v>
      </c>
      <c r="K58" s="701">
        <v>5</v>
      </c>
      <c r="L58" s="694" t="s">
        <v>624</v>
      </c>
      <c r="M58" s="549">
        <v>0.2</v>
      </c>
      <c r="N58" s="552">
        <v>5.2</v>
      </c>
    </row>
    <row r="59" spans="9:14" ht="15" thickBot="1">
      <c r="I59" s="695"/>
      <c r="J59" s="698"/>
      <c r="K59" s="702"/>
      <c r="L59" s="695"/>
      <c r="M59" s="550">
        <v>0.5</v>
      </c>
      <c r="N59" s="553">
        <v>5.5</v>
      </c>
    </row>
    <row r="60" spans="9:14" ht="14.25">
      <c r="I60" s="694" t="s">
        <v>625</v>
      </c>
      <c r="J60" s="697">
        <v>784.19056873637919</v>
      </c>
      <c r="K60" s="696">
        <v>8</v>
      </c>
      <c r="L60" s="694" t="s">
        <v>626</v>
      </c>
      <c r="M60" s="549">
        <v>0.6</v>
      </c>
      <c r="N60" s="552">
        <v>8.6</v>
      </c>
    </row>
    <row r="61" spans="9:14" ht="15" thickBot="1">
      <c r="I61" s="695"/>
      <c r="J61" s="698"/>
      <c r="K61" s="695"/>
      <c r="L61" s="695"/>
      <c r="M61" s="550">
        <v>1.5</v>
      </c>
      <c r="N61" s="553">
        <v>9.5</v>
      </c>
    </row>
    <row r="62" spans="9:14" ht="14.25">
      <c r="I62" s="694" t="s">
        <v>627</v>
      </c>
      <c r="J62" s="697">
        <v>1529.590852475199</v>
      </c>
      <c r="K62" s="696">
        <v>7</v>
      </c>
      <c r="L62" s="694" t="s">
        <v>624</v>
      </c>
      <c r="M62" s="549">
        <v>0.2</v>
      </c>
      <c r="N62" s="552">
        <v>7.2</v>
      </c>
    </row>
    <row r="63" spans="9:14" ht="15" thickBot="1">
      <c r="I63" s="695"/>
      <c r="J63" s="698"/>
      <c r="K63" s="695"/>
      <c r="L63" s="695"/>
      <c r="M63" s="550">
        <v>0.5</v>
      </c>
      <c r="N63" s="553">
        <v>7.5</v>
      </c>
    </row>
    <row r="64" spans="9:14" ht="14.25">
      <c r="I64" s="694" t="s">
        <v>628</v>
      </c>
      <c r="J64" s="699">
        <v>700</v>
      </c>
      <c r="K64" s="696">
        <v>8</v>
      </c>
      <c r="L64" s="694" t="s">
        <v>624</v>
      </c>
      <c r="M64" s="549">
        <v>0.2</v>
      </c>
      <c r="N64" s="552">
        <v>8.1999999999999993</v>
      </c>
    </row>
    <row r="65" spans="9:14" ht="15" thickBot="1">
      <c r="I65" s="695"/>
      <c r="J65" s="700"/>
      <c r="K65" s="695"/>
      <c r="L65" s="695"/>
      <c r="M65" s="550">
        <v>0.5</v>
      </c>
      <c r="N65" s="553">
        <v>8.5</v>
      </c>
    </row>
  </sheetData>
  <mergeCells count="16">
    <mergeCell ref="I58:I59"/>
    <mergeCell ref="K58:K59"/>
    <mergeCell ref="L58:L59"/>
    <mergeCell ref="I60:I61"/>
    <mergeCell ref="K60:K61"/>
    <mergeCell ref="L60:L61"/>
    <mergeCell ref="J58:J59"/>
    <mergeCell ref="J60:J61"/>
    <mergeCell ref="I62:I63"/>
    <mergeCell ref="K62:K63"/>
    <mergeCell ref="L62:L63"/>
    <mergeCell ref="I64:I65"/>
    <mergeCell ref="K64:K65"/>
    <mergeCell ref="L64:L65"/>
    <mergeCell ref="J62:J63"/>
    <mergeCell ref="J64:J65"/>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X80"/>
  <sheetViews>
    <sheetView topLeftCell="F34" zoomScale="70" zoomScaleNormal="70" workbookViewId="0">
      <selection activeCell="U50" sqref="U50"/>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B28" s="143"/>
      <c r="C28" s="143"/>
      <c r="D28" s="144"/>
      <c r="E28" s="150"/>
      <c r="F28" s="151"/>
      <c r="H28" s="143"/>
      <c r="I28" s="144" t="str">
        <f>'EB1'!B7</f>
        <v>EXP</v>
      </c>
      <c r="J28" s="120"/>
      <c r="K28" s="144" t="str">
        <f t="shared" ref="K28:K34" si="6">$I$28&amp;$C2&amp;1</f>
        <v>EXPOIL1</v>
      </c>
      <c r="L28" s="144"/>
      <c r="M28" s="144" t="str">
        <f>$E$2</f>
        <v>PJ</v>
      </c>
      <c r="N28" s="144" t="str">
        <f>$E$2&amp;"a"</f>
        <v>PJa</v>
      </c>
      <c r="O28" s="144"/>
      <c r="P28" s="144"/>
      <c r="Q28" s="144"/>
    </row>
    <row r="29" spans="1:23" ht="13.5" customHeight="1">
      <c r="B29" s="143"/>
      <c r="C29" s="143"/>
      <c r="D29" s="144"/>
      <c r="E29" s="150"/>
      <c r="F29" s="151"/>
      <c r="H29" s="143"/>
      <c r="I29" s="143"/>
      <c r="J29" s="120"/>
      <c r="K29" s="144" t="str">
        <f t="shared" si="6"/>
        <v>EXPLPG1</v>
      </c>
      <c r="L29" s="144"/>
      <c r="M29" s="144" t="str">
        <f t="shared" ref="M29:M34" si="7">$E$2</f>
        <v>PJ</v>
      </c>
      <c r="N29" s="144" t="str">
        <f t="shared" ref="N29:N34" si="8">$E$2&amp;"a"</f>
        <v>PJa</v>
      </c>
      <c r="O29" s="144"/>
      <c r="P29" s="144"/>
      <c r="Q29" s="144"/>
    </row>
    <row r="30" spans="1:23" ht="13.5" customHeight="1">
      <c r="B30" s="143"/>
      <c r="C30" s="143"/>
      <c r="D30" s="144"/>
      <c r="E30" s="150"/>
      <c r="F30" s="151"/>
      <c r="H30" s="143"/>
      <c r="I30" s="143"/>
      <c r="J30" s="120"/>
      <c r="K30" s="144" t="str">
        <f t="shared" si="6"/>
        <v>EXPPET1</v>
      </c>
      <c r="L30" s="144"/>
      <c r="M30" s="144" t="str">
        <f t="shared" si="7"/>
        <v>PJ</v>
      </c>
      <c r="N30" s="144" t="str">
        <f t="shared" si="8"/>
        <v>PJa</v>
      </c>
      <c r="O30" s="144"/>
      <c r="P30" s="144"/>
      <c r="Q30" s="143"/>
    </row>
    <row r="31" spans="1:23" ht="13.5" customHeight="1">
      <c r="B31" s="143"/>
      <c r="C31" s="143"/>
      <c r="D31" s="144"/>
      <c r="E31" s="150"/>
      <c r="F31" s="151"/>
      <c r="H31" s="143"/>
      <c r="I31" s="143"/>
      <c r="J31" s="120"/>
      <c r="K31" s="144" t="str">
        <f t="shared" si="6"/>
        <v>EXPDSL1</v>
      </c>
      <c r="L31" s="144"/>
      <c r="M31" s="144" t="str">
        <f t="shared" si="7"/>
        <v>PJ</v>
      </c>
      <c r="N31" s="144" t="str">
        <f t="shared" si="8"/>
        <v>PJa</v>
      </c>
      <c r="O31" s="144"/>
      <c r="P31" s="144"/>
      <c r="Q31" s="143"/>
    </row>
    <row r="32" spans="1:23" ht="13.5" customHeight="1">
      <c r="B32" s="143"/>
      <c r="C32" s="144"/>
      <c r="D32" s="143"/>
      <c r="E32" s="150"/>
      <c r="F32" s="151"/>
      <c r="H32" s="143"/>
      <c r="I32" s="143"/>
      <c r="J32" s="120"/>
      <c r="K32" s="144" t="str">
        <f t="shared" si="6"/>
        <v>EXPFOL1</v>
      </c>
      <c r="L32" s="144"/>
      <c r="M32" s="144" t="str">
        <f t="shared" si="7"/>
        <v>PJ</v>
      </c>
      <c r="N32" s="144" t="str">
        <f t="shared" si="8"/>
        <v>PJa</v>
      </c>
      <c r="O32" s="144"/>
      <c r="P32" s="144"/>
      <c r="Q32" s="143"/>
    </row>
    <row r="33" spans="2:24" ht="13.5" customHeight="1">
      <c r="B33" s="143"/>
      <c r="C33" s="144"/>
      <c r="D33" s="143"/>
      <c r="E33" s="150"/>
      <c r="F33" s="151"/>
      <c r="H33" s="143"/>
      <c r="I33" s="143"/>
      <c r="J33" s="120"/>
      <c r="K33" s="144" t="str">
        <f t="shared" si="6"/>
        <v>EXPJET1</v>
      </c>
      <c r="L33" s="144"/>
      <c r="M33" s="144" t="str">
        <f t="shared" si="7"/>
        <v>PJ</v>
      </c>
      <c r="N33" s="144" t="str">
        <f t="shared" si="8"/>
        <v>PJa</v>
      </c>
      <c r="O33" s="144"/>
      <c r="P33" s="144"/>
      <c r="Q33" s="143"/>
    </row>
    <row r="34" spans="2:24" ht="13.5" customHeight="1">
      <c r="B34" s="143"/>
      <c r="C34" s="144"/>
      <c r="D34" s="143"/>
      <c r="E34" s="150"/>
      <c r="F34" s="151"/>
      <c r="H34" s="143"/>
      <c r="I34" s="143"/>
      <c r="J34" s="120"/>
      <c r="K34" s="144" t="str">
        <f t="shared" si="6"/>
        <v>EXPOTH1</v>
      </c>
      <c r="L34" s="144"/>
      <c r="M34" s="144" t="str">
        <f t="shared" si="7"/>
        <v>PJ</v>
      </c>
      <c r="N34" s="144" t="str">
        <f t="shared" si="8"/>
        <v>PJa</v>
      </c>
      <c r="O34" s="143"/>
      <c r="P34" s="143"/>
      <c r="Q34" s="143"/>
    </row>
    <row r="35" spans="2:24" ht="13.5" customHeight="1">
      <c r="B35" s="143"/>
      <c r="C35" s="144"/>
      <c r="D35" s="143"/>
      <c r="E35" s="150"/>
      <c r="F35" s="151"/>
      <c r="H35" s="143"/>
      <c r="O35" s="143"/>
      <c r="P35" s="143"/>
      <c r="Q35" s="143"/>
    </row>
    <row r="36" spans="2:24" ht="13.5" customHeight="1">
      <c r="B36" s="143"/>
      <c r="C36" s="144"/>
      <c r="D36" s="143"/>
      <c r="E36" s="150"/>
      <c r="F36" s="151"/>
      <c r="O36" s="143"/>
      <c r="P36" s="143"/>
    </row>
    <row r="37" spans="2:24" ht="13.5" customHeight="1">
      <c r="B37" s="143"/>
      <c r="C37" s="144"/>
      <c r="E37" s="150"/>
      <c r="F37" s="151"/>
      <c r="O37" s="143"/>
      <c r="P37" s="143"/>
    </row>
    <row r="38" spans="2:24" ht="13.5" customHeight="1">
      <c r="B38" s="143"/>
      <c r="C38" s="144"/>
      <c r="E38" s="150"/>
      <c r="F38" s="151"/>
      <c r="O38" s="143"/>
      <c r="P38" s="143"/>
    </row>
    <row r="39" spans="2:24" ht="13.5" customHeight="1">
      <c r="B39" s="143"/>
      <c r="O39" s="143"/>
      <c r="P39" s="143"/>
    </row>
    <row r="40" spans="2:24" ht="13.5" customHeight="1">
      <c r="B40" s="143"/>
      <c r="K40" s="144"/>
    </row>
    <row r="41" spans="2:24" ht="13.5" customHeight="1">
      <c r="B41" s="143"/>
    </row>
    <row r="42" spans="2:24" ht="48.75" customHeight="1">
      <c r="I42" s="372"/>
      <c r="J42" s="372"/>
      <c r="K42" s="376" t="s">
        <v>13</v>
      </c>
      <c r="L42" s="372"/>
      <c r="M42" s="376"/>
      <c r="N42" s="372"/>
      <c r="O42" s="372"/>
      <c r="P42" s="372"/>
      <c r="Q42" s="372"/>
      <c r="R42" s="372"/>
      <c r="S42" s="372"/>
      <c r="T42" s="372"/>
    </row>
    <row r="43" spans="2:24" ht="13.5" customHeight="1">
      <c r="I43" s="377" t="s">
        <v>1</v>
      </c>
      <c r="J43" s="378" t="s">
        <v>5</v>
      </c>
      <c r="K43" s="377" t="s">
        <v>6</v>
      </c>
      <c r="L43" s="379" t="s">
        <v>34</v>
      </c>
      <c r="M43" s="379" t="s">
        <v>35</v>
      </c>
      <c r="N43" s="373" t="s">
        <v>822</v>
      </c>
      <c r="O43" s="373" t="s">
        <v>349</v>
      </c>
      <c r="P43" s="373" t="s">
        <v>350</v>
      </c>
      <c r="Q43" s="373" t="s">
        <v>351</v>
      </c>
      <c r="R43" s="373" t="s">
        <v>352</v>
      </c>
      <c r="S43" s="373" t="s">
        <v>353</v>
      </c>
      <c r="T43" s="373" t="s">
        <v>354</v>
      </c>
      <c r="U43" s="148" t="s">
        <v>72</v>
      </c>
      <c r="V43" s="148" t="s">
        <v>824</v>
      </c>
    </row>
    <row r="44" spans="2:24" ht="13.5" customHeight="1" thickBot="1">
      <c r="I44" s="380" t="s">
        <v>39</v>
      </c>
      <c r="J44" s="380" t="s">
        <v>32</v>
      </c>
      <c r="K44" s="380" t="s">
        <v>33</v>
      </c>
      <c r="L44" s="380" t="s">
        <v>36</v>
      </c>
      <c r="M44" s="380" t="s">
        <v>79</v>
      </c>
      <c r="N44" s="380" t="s">
        <v>79</v>
      </c>
      <c r="O44" s="380" t="s">
        <v>79</v>
      </c>
      <c r="P44" s="380" t="s">
        <v>79</v>
      </c>
      <c r="Q44" s="380" t="s">
        <v>79</v>
      </c>
      <c r="R44" s="380" t="s">
        <v>79</v>
      </c>
      <c r="S44" s="380" t="s">
        <v>79</v>
      </c>
      <c r="T44" s="380" t="s">
        <v>79</v>
      </c>
      <c r="U44" s="149" t="s">
        <v>78</v>
      </c>
      <c r="V44" s="149" t="s">
        <v>78</v>
      </c>
    </row>
    <row r="45" spans="2:24" ht="13.5" customHeight="1" thickBot="1">
      <c r="I45" s="380" t="s">
        <v>77</v>
      </c>
      <c r="J45" s="380"/>
      <c r="K45" s="380"/>
      <c r="L45" s="380" t="s">
        <v>69</v>
      </c>
      <c r="M45" s="380" t="s">
        <v>355</v>
      </c>
      <c r="N45" s="380" t="s">
        <v>355</v>
      </c>
      <c r="O45" s="380" t="s">
        <v>355</v>
      </c>
      <c r="P45" s="380" t="s">
        <v>355</v>
      </c>
      <c r="Q45" s="380" t="s">
        <v>355</v>
      </c>
      <c r="R45" s="380" t="s">
        <v>355</v>
      </c>
      <c r="S45" s="380" t="s">
        <v>355</v>
      </c>
      <c r="T45" s="380" t="s">
        <v>355</v>
      </c>
      <c r="U45" s="149" t="str">
        <f>$E$2</f>
        <v>PJ</v>
      </c>
      <c r="V45" s="149" t="str">
        <f>$E$2</f>
        <v>PJ</v>
      </c>
    </row>
    <row r="46" spans="2:24" ht="13.5" customHeight="1">
      <c r="I46" s="375" t="str">
        <f>+K19</f>
        <v>MINOIL1</v>
      </c>
      <c r="J46" s="374"/>
      <c r="K46" s="375" t="s">
        <v>643</v>
      </c>
      <c r="L46" s="480">
        <f>+L69+U46+V46</f>
        <v>649.26531184933629</v>
      </c>
      <c r="M46" s="382">
        <v>10</v>
      </c>
      <c r="N46" s="383">
        <v>16.348745251702226</v>
      </c>
      <c r="O46" s="383">
        <v>19.822220085163373</v>
      </c>
      <c r="P46" s="383">
        <v>23.293701904317746</v>
      </c>
      <c r="Q46" s="383">
        <v>24.711615654691542</v>
      </c>
      <c r="R46" s="383">
        <v>26.124172030015377</v>
      </c>
      <c r="S46" s="383">
        <v>29.282835135542186</v>
      </c>
      <c r="T46" s="383">
        <v>29.429608600568837</v>
      </c>
      <c r="U46" s="329">
        <f>+'EB1'!I50+10</f>
        <v>60.8826559246681</v>
      </c>
      <c r="V46" s="522">
        <f>+U46</f>
        <v>60.8826559246681</v>
      </c>
      <c r="X46" s="563" t="s">
        <v>654</v>
      </c>
    </row>
    <row r="47" spans="2:24" ht="13.5" customHeight="1">
      <c r="I47" s="375" t="str">
        <f t="shared" ref="I47:I61" si="9">+K20</f>
        <v>MINLPG1</v>
      </c>
      <c r="J47" s="374"/>
      <c r="K47" s="375" t="s">
        <v>95</v>
      </c>
      <c r="L47" s="480">
        <f>+L80+U47+V47</f>
        <v>115.19621817487234</v>
      </c>
      <c r="M47" s="382">
        <v>20</v>
      </c>
      <c r="N47" s="383">
        <v>32.697490503404453</v>
      </c>
      <c r="O47" s="383">
        <v>39.644440170326746</v>
      </c>
      <c r="P47" s="383">
        <v>46.587403808635493</v>
      </c>
      <c r="Q47" s="383">
        <v>49.423231309383084</v>
      </c>
      <c r="R47" s="383">
        <v>52.248344060030753</v>
      </c>
      <c r="S47" s="383">
        <v>58.565670271084372</v>
      </c>
      <c r="T47" s="383">
        <v>58.859217201137675</v>
      </c>
      <c r="U47" s="329">
        <f>+'EB1'!J50</f>
        <v>8.6389752661228894</v>
      </c>
      <c r="V47" s="135">
        <f>+MAX(Oil!B28:AS28)</f>
        <v>10.85724290874945</v>
      </c>
    </row>
    <row r="48" spans="2:24" ht="13.5" customHeight="1">
      <c r="I48" s="375" t="str">
        <f t="shared" si="9"/>
        <v>IMPOIL1</v>
      </c>
      <c r="J48" s="374"/>
      <c r="K48" s="375" t="s">
        <v>644</v>
      </c>
      <c r="L48" s="381"/>
      <c r="M48" s="384">
        <v>12.020931136891397</v>
      </c>
      <c r="N48" s="384">
        <v>19.652714084529268</v>
      </c>
      <c r="O48" s="384">
        <v>23.828154262405445</v>
      </c>
      <c r="P48" s="384">
        <v>28.001198651507963</v>
      </c>
      <c r="Q48" s="384">
        <v>29.705663006637444</v>
      </c>
      <c r="R48" s="384">
        <v>31.403687298111919</v>
      </c>
      <c r="S48" s="384">
        <v>35.200694465729647</v>
      </c>
      <c r="T48" s="384">
        <v>35.377129837310477</v>
      </c>
      <c r="U48" s="329">
        <f>+Con_REF!L12</f>
        <v>244.4430342689065</v>
      </c>
      <c r="V48" s="135">
        <f>+U48*1.2</f>
        <v>293.33164112268781</v>
      </c>
    </row>
    <row r="49" spans="9:24" ht="13.5" customHeight="1">
      <c r="I49" s="375" t="str">
        <f t="shared" si="9"/>
        <v>IMPLPG1</v>
      </c>
      <c r="J49" s="374"/>
      <c r="K49" s="375" t="s">
        <v>95</v>
      </c>
      <c r="L49" s="381"/>
      <c r="M49" s="382">
        <v>20</v>
      </c>
      <c r="N49" s="383">
        <v>32.697490503404453</v>
      </c>
      <c r="O49" s="383">
        <v>39.644440170326746</v>
      </c>
      <c r="P49" s="383">
        <v>46.587403808635493</v>
      </c>
      <c r="Q49" s="383">
        <v>49.423231309383084</v>
      </c>
      <c r="R49" s="383">
        <v>52.248344060030753</v>
      </c>
      <c r="S49" s="383">
        <v>58.565670271084372</v>
      </c>
      <c r="T49" s="383">
        <v>58.859217201137675</v>
      </c>
      <c r="U49" s="329">
        <f>+'EB1'!J51+1</f>
        <v>1.7455624964268739</v>
      </c>
      <c r="V49" s="135">
        <f>+MAX(Oil!42:42)</f>
        <v>4.9877212812774534</v>
      </c>
    </row>
    <row r="50" spans="9:24" ht="13.5" customHeight="1">
      <c r="I50" s="375" t="str">
        <f t="shared" si="9"/>
        <v>IMPPET1</v>
      </c>
      <c r="J50" s="374"/>
      <c r="K50" s="375" t="s">
        <v>174</v>
      </c>
      <c r="L50" s="381"/>
      <c r="M50" s="384">
        <v>15.379896112536088</v>
      </c>
      <c r="N50" s="384">
        <v>22.610406006450212</v>
      </c>
      <c r="O50" s="384">
        <v>27.086499480111446</v>
      </c>
      <c r="P50" s="384">
        <v>31.528570146988582</v>
      </c>
      <c r="Q50" s="384">
        <v>33.331117808674499</v>
      </c>
      <c r="R50" s="384">
        <v>35.122844295680309</v>
      </c>
      <c r="S50" s="384">
        <v>39.111232994112385</v>
      </c>
      <c r="T50" s="384">
        <v>39.307269039168794</v>
      </c>
      <c r="U50" s="329">
        <f>+'EB1'!K51</f>
        <v>47.54426945022535</v>
      </c>
      <c r="V50" s="135">
        <f>+U50*1.2</f>
        <v>57.053123340270417</v>
      </c>
      <c r="X50" s="563" t="s">
        <v>655</v>
      </c>
    </row>
    <row r="51" spans="9:24" ht="13.5" customHeight="1">
      <c r="I51" s="375" t="str">
        <f t="shared" si="9"/>
        <v>IMPDSL1</v>
      </c>
      <c r="J51" s="374"/>
      <c r="K51" s="375" t="s">
        <v>93</v>
      </c>
      <c r="L51" s="381"/>
      <c r="M51" s="384">
        <v>15.025143119060132</v>
      </c>
      <c r="N51" s="384">
        <v>22.713970200542803</v>
      </c>
      <c r="O51" s="384">
        <v>27.406085815800225</v>
      </c>
      <c r="P51" s="384">
        <v>32.056139536342094</v>
      </c>
      <c r="Q51" s="384">
        <v>33.945606109417035</v>
      </c>
      <c r="R51" s="384">
        <v>35.822776887620591</v>
      </c>
      <c r="S51" s="384">
        <v>40.003199329922424</v>
      </c>
      <c r="T51" s="384">
        <v>40.203706150748594</v>
      </c>
      <c r="U51" s="329">
        <f>+'EB1'!L51</f>
        <v>59.171436848541894</v>
      </c>
      <c r="V51" s="135">
        <f>+U51*2</f>
        <v>118.34287369708379</v>
      </c>
    </row>
    <row r="52" spans="9:24" ht="13.5" customHeight="1">
      <c r="I52" s="375" t="str">
        <f t="shared" si="9"/>
        <v>IMPFOL1</v>
      </c>
      <c r="J52" s="374"/>
      <c r="K52" s="375" t="s">
        <v>175</v>
      </c>
      <c r="L52" s="381"/>
      <c r="M52" s="384">
        <v>13.522628807154121</v>
      </c>
      <c r="N52" s="384">
        <v>20.442573180488523</v>
      </c>
      <c r="O52" s="384">
        <v>24.665477234220202</v>
      </c>
      <c r="P52" s="384">
        <v>28.850525582707881</v>
      </c>
      <c r="Q52" s="384">
        <v>30.551045498475332</v>
      </c>
      <c r="R52" s="384">
        <v>32.240499198858529</v>
      </c>
      <c r="S52" s="384">
        <v>36.002879396930183</v>
      </c>
      <c r="T52" s="384">
        <v>36.183335535673741</v>
      </c>
      <c r="U52" s="329">
        <f>+V52</f>
        <v>5.4058328815307615</v>
      </c>
      <c r="V52" s="135">
        <f>+MAX(Oil!47:47)</f>
        <v>5.4058328815307615</v>
      </c>
    </row>
    <row r="53" spans="9:24" ht="13.5" customHeight="1">
      <c r="I53" s="375" t="str">
        <f t="shared" si="9"/>
        <v>IMPJET1</v>
      </c>
      <c r="J53" s="374"/>
      <c r="K53" s="375" t="s">
        <v>444</v>
      </c>
      <c r="L53" s="381"/>
      <c r="M53" s="384">
        <v>16.527657430966148</v>
      </c>
      <c r="N53" s="384">
        <v>24.985367220597084</v>
      </c>
      <c r="O53" s="384">
        <v>30.146694397380251</v>
      </c>
      <c r="P53" s="384">
        <v>35.2617534899763</v>
      </c>
      <c r="Q53" s="384">
        <v>37.340166720358745</v>
      </c>
      <c r="R53" s="384">
        <v>39.405054576382653</v>
      </c>
      <c r="S53" s="384">
        <v>44.003519262914672</v>
      </c>
      <c r="T53" s="384">
        <v>44.224076765823455</v>
      </c>
      <c r="U53" s="329">
        <f>+'EB1'!N51</f>
        <v>12.52538963145672</v>
      </c>
      <c r="V53" s="135">
        <f>+U53*10</f>
        <v>125.2538963145672</v>
      </c>
    </row>
    <row r="54" spans="9:24" ht="13.5" customHeight="1">
      <c r="I54" s="375" t="str">
        <f t="shared" si="9"/>
        <v>IMPOTH1</v>
      </c>
      <c r="J54" s="374"/>
      <c r="K54" s="375" t="s">
        <v>177</v>
      </c>
      <c r="L54" s="381"/>
      <c r="M54" s="382">
        <v>30</v>
      </c>
      <c r="N54" s="383">
        <v>21.798327002269634</v>
      </c>
      <c r="O54" s="383">
        <v>26.429626780217831</v>
      </c>
      <c r="P54" s="383">
        <v>31.058269205756996</v>
      </c>
      <c r="Q54" s="383">
        <v>32.948820872922056</v>
      </c>
      <c r="R54" s="383">
        <v>34.832229373353833</v>
      </c>
      <c r="S54" s="383">
        <v>39.043780180722919</v>
      </c>
      <c r="T54" s="383">
        <v>39.239478134091783</v>
      </c>
      <c r="U54" s="329">
        <f>+'EB1'!O51</f>
        <v>14.344770831929861</v>
      </c>
      <c r="V54" s="135">
        <f>+MAX(Oil!52:52)</f>
        <v>9.0945176001586905</v>
      </c>
    </row>
    <row r="55" spans="9:24" ht="13.5" customHeight="1">
      <c r="I55" s="375" t="str">
        <f t="shared" si="9"/>
        <v>EXPOIL1</v>
      </c>
      <c r="J55" s="375" t="s">
        <v>643</v>
      </c>
      <c r="K55" s="374"/>
      <c r="L55" s="381"/>
      <c r="M55" s="382">
        <v>15</v>
      </c>
      <c r="N55" s="383">
        <f>+N48</f>
        <v>19.652714084529268</v>
      </c>
      <c r="O55" s="383">
        <f t="shared" ref="O55:T55" si="10">+O48</f>
        <v>23.828154262405445</v>
      </c>
      <c r="P55" s="383">
        <f t="shared" si="10"/>
        <v>28.001198651507963</v>
      </c>
      <c r="Q55" s="383">
        <f t="shared" si="10"/>
        <v>29.705663006637444</v>
      </c>
      <c r="R55" s="383">
        <f t="shared" si="10"/>
        <v>31.403687298111919</v>
      </c>
      <c r="S55" s="383">
        <f t="shared" si="10"/>
        <v>35.200694465729647</v>
      </c>
      <c r="T55" s="383">
        <f t="shared" si="10"/>
        <v>35.377129837310477</v>
      </c>
      <c r="U55" s="329">
        <f>+U46</f>
        <v>60.8826559246681</v>
      </c>
    </row>
    <row r="56" spans="9:24" ht="13.5" customHeight="1">
      <c r="I56" s="375" t="str">
        <f t="shared" si="9"/>
        <v>EXPLPG1</v>
      </c>
      <c r="J56" s="375" t="s">
        <v>95</v>
      </c>
      <c r="K56" s="374"/>
      <c r="L56" s="381"/>
      <c r="M56" s="382">
        <v>30</v>
      </c>
      <c r="N56" s="383">
        <v>26.157992402723565</v>
      </c>
      <c r="O56" s="383">
        <v>31.715552136261397</v>
      </c>
      <c r="P56" s="383">
        <v>37.269923046908396</v>
      </c>
      <c r="Q56" s="383">
        <v>39.538585047506473</v>
      </c>
      <c r="R56" s="383">
        <v>41.798675248024608</v>
      </c>
      <c r="S56" s="383">
        <v>46.852536216867499</v>
      </c>
      <c r="T56" s="383">
        <v>47.08737376091014</v>
      </c>
      <c r="U56" s="329">
        <f>+'EB1'!J52</f>
        <v>0.25927213396339799</v>
      </c>
    </row>
    <row r="57" spans="9:24" ht="13.5" customHeight="1">
      <c r="I57" s="375" t="str">
        <f t="shared" si="9"/>
        <v>EXPPET1</v>
      </c>
      <c r="J57" s="375" t="s">
        <v>174</v>
      </c>
      <c r="K57" s="374"/>
      <c r="L57" s="381"/>
      <c r="M57" s="382">
        <v>30</v>
      </c>
      <c r="N57" s="383">
        <v>18.08832480516017</v>
      </c>
      <c r="O57" s="383">
        <v>21.669199584089156</v>
      </c>
      <c r="P57" s="383">
        <v>25.222856117590865</v>
      </c>
      <c r="Q57" s="383">
        <v>26.6648942469396</v>
      </c>
      <c r="R57" s="383">
        <v>28.098275436544249</v>
      </c>
      <c r="S57" s="383">
        <v>31.288986395289911</v>
      </c>
      <c r="T57" s="383">
        <v>31.445815231335036</v>
      </c>
      <c r="U57" s="329"/>
    </row>
    <row r="58" spans="9:24" ht="13.5" customHeight="1">
      <c r="I58" s="375" t="str">
        <f t="shared" si="9"/>
        <v>EXPDSL1</v>
      </c>
      <c r="J58" s="375" t="s">
        <v>93</v>
      </c>
      <c r="K58" s="374"/>
      <c r="L58" s="381"/>
      <c r="M58" s="382">
        <v>30</v>
      </c>
      <c r="N58" s="383">
        <v>18.171176160434243</v>
      </c>
      <c r="O58" s="383">
        <v>21.924868652640182</v>
      </c>
      <c r="P58" s="383">
        <v>25.644911629073675</v>
      </c>
      <c r="Q58" s="383">
        <v>27.15648488753363</v>
      </c>
      <c r="R58" s="383">
        <v>28.658221510096475</v>
      </c>
      <c r="S58" s="383">
        <v>32.002559463937942</v>
      </c>
      <c r="T58" s="383">
        <v>32.162964920598874</v>
      </c>
      <c r="U58" s="329"/>
    </row>
    <row r="59" spans="9:24" ht="13.5" customHeight="1">
      <c r="I59" s="375" t="str">
        <f t="shared" si="9"/>
        <v>EXPFOL1</v>
      </c>
      <c r="J59" s="375" t="s">
        <v>175</v>
      </c>
      <c r="K59" s="374"/>
      <c r="L59" s="381"/>
      <c r="M59" s="382">
        <v>30</v>
      </c>
      <c r="N59" s="383">
        <v>16.354058544390821</v>
      </c>
      <c r="O59" s="383">
        <v>19.732381787376163</v>
      </c>
      <c r="P59" s="383">
        <v>23.080420466166306</v>
      </c>
      <c r="Q59" s="383">
        <v>24.440836398780267</v>
      </c>
      <c r="R59" s="383">
        <v>25.792399359086826</v>
      </c>
      <c r="S59" s="383">
        <v>28.802303517544146</v>
      </c>
      <c r="T59" s="383">
        <v>28.946668428538995</v>
      </c>
      <c r="U59" s="329"/>
    </row>
    <row r="60" spans="9:24" ht="13.5" customHeight="1">
      <c r="I60" s="375" t="str">
        <f t="shared" si="9"/>
        <v>EXPJET1</v>
      </c>
      <c r="J60" s="375" t="s">
        <v>444</v>
      </c>
      <c r="K60" s="372"/>
      <c r="L60" s="381"/>
      <c r="M60" s="382">
        <v>30</v>
      </c>
      <c r="N60" s="383">
        <v>19.988293776477668</v>
      </c>
      <c r="O60" s="383">
        <v>24.117355517904201</v>
      </c>
      <c r="P60" s="383">
        <v>28.209402791981042</v>
      </c>
      <c r="Q60" s="383">
        <v>29.872133376286996</v>
      </c>
      <c r="R60" s="383">
        <v>31.524043661106123</v>
      </c>
      <c r="S60" s="383">
        <v>35.202815410331738</v>
      </c>
      <c r="T60" s="383">
        <v>35.379261412658764</v>
      </c>
      <c r="U60" s="329"/>
    </row>
    <row r="61" spans="9:24" ht="13.5" customHeight="1">
      <c r="I61" s="375" t="str">
        <f t="shared" si="9"/>
        <v>EXPOTH1</v>
      </c>
      <c r="J61" s="375" t="s">
        <v>177</v>
      </c>
      <c r="K61" s="372"/>
      <c r="L61" s="381"/>
      <c r="M61" s="382">
        <v>30</v>
      </c>
      <c r="N61" s="383">
        <v>17.438661601815706</v>
      </c>
      <c r="O61" s="383">
        <v>21.143701424174267</v>
      </c>
      <c r="P61" s="383">
        <v>24.846615364605597</v>
      </c>
      <c r="Q61" s="383">
        <v>26.359056698337646</v>
      </c>
      <c r="R61" s="383">
        <v>27.865783498683069</v>
      </c>
      <c r="S61" s="383">
        <v>31.235024144578336</v>
      </c>
      <c r="T61" s="383">
        <v>31.391582507273426</v>
      </c>
      <c r="U61" s="329"/>
    </row>
    <row r="65" spans="9:12" ht="13.5" customHeight="1" thickBot="1"/>
    <row r="66" spans="9:12" ht="13.5" customHeight="1" thickBot="1">
      <c r="I66" s="135" t="s">
        <v>46</v>
      </c>
      <c r="J66" s="703" t="s">
        <v>497</v>
      </c>
      <c r="K66" s="704"/>
      <c r="L66" s="705"/>
    </row>
    <row r="67" spans="9:12" ht="13.5" customHeight="1" thickBot="1">
      <c r="J67" s="485" t="s">
        <v>498</v>
      </c>
      <c r="K67" s="486" t="s">
        <v>506</v>
      </c>
      <c r="L67" s="487" t="s">
        <v>69</v>
      </c>
    </row>
    <row r="68" spans="9:12" ht="13.5" customHeight="1" thickBot="1">
      <c r="I68" s="488" t="s">
        <v>501</v>
      </c>
      <c r="J68" s="484">
        <v>16.984899114541484</v>
      </c>
      <c r="K68" s="484">
        <v>106.83179797720653</v>
      </c>
      <c r="L68" s="484">
        <v>601.28006718889526</v>
      </c>
    </row>
    <row r="69" spans="9:12" ht="13.5" customHeight="1" thickBot="1">
      <c r="I69" s="488" t="s">
        <v>502</v>
      </c>
      <c r="J69" s="481">
        <v>14.8</v>
      </c>
      <c r="K69" s="482">
        <v>93.1</v>
      </c>
      <c r="L69" s="483">
        <v>527.5</v>
      </c>
    </row>
    <row r="70" spans="9:12" ht="13.5" customHeight="1">
      <c r="I70" s="489" t="s">
        <v>503</v>
      </c>
    </row>
    <row r="71" spans="9:12" ht="13.5" customHeight="1">
      <c r="I71" s="489" t="s">
        <v>504</v>
      </c>
    </row>
    <row r="72" spans="9:12" ht="13.5" customHeight="1">
      <c r="I72" s="489" t="s">
        <v>505</v>
      </c>
    </row>
    <row r="76" spans="9:12" ht="13.5" customHeight="1" thickBot="1"/>
    <row r="77" spans="9:12" ht="13.5" customHeight="1" thickBot="1">
      <c r="I77" s="135" t="s">
        <v>95</v>
      </c>
      <c r="K77" s="703" t="s">
        <v>497</v>
      </c>
      <c r="L77" s="705"/>
    </row>
    <row r="78" spans="9:12" ht="13.5" customHeight="1" thickBot="1">
      <c r="K78" s="490" t="s">
        <v>86</v>
      </c>
      <c r="L78" s="491" t="s">
        <v>69</v>
      </c>
    </row>
    <row r="79" spans="9:12" ht="13.5" customHeight="1" thickBot="1">
      <c r="J79" s="492" t="s">
        <v>501</v>
      </c>
      <c r="K79" s="493">
        <v>1900.55</v>
      </c>
      <c r="L79" s="493">
        <v>93.700749500000001</v>
      </c>
    </row>
    <row r="80" spans="9:12" ht="13.5" customHeight="1" thickBot="1">
      <c r="J80" s="492" t="s">
        <v>502</v>
      </c>
      <c r="K80" s="493">
        <v>2019.7</v>
      </c>
      <c r="L80" s="494">
        <v>95.7</v>
      </c>
    </row>
  </sheetData>
  <mergeCells count="2">
    <mergeCell ref="J66:L66"/>
    <mergeCell ref="K77:L77"/>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3"/>
  <sheetViews>
    <sheetView tabSelected="1" topLeftCell="A36" zoomScale="80" zoomScaleNormal="80" workbookViewId="0">
      <selection activeCell="E50" sqref="E50"/>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+B49</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 t="shared" ref="D24:D30" si="1">+B50</f>
        <v>MINWODWST01</v>
      </c>
      <c r="E24" s="374" t="s">
        <v>795</v>
      </c>
      <c r="F24" s="144" t="str">
        <f t="shared" ref="F24:F26" si="2">$F$7</f>
        <v>PJ</v>
      </c>
      <c r="G24" s="144" t="str">
        <f t="shared" ref="G24:G26" si="3">$F$7&amp;"a"</f>
        <v>PJa</v>
      </c>
      <c r="H24" s="144"/>
      <c r="I24" s="144"/>
      <c r="J24" s="144"/>
      <c r="P24" s="529" t="s">
        <v>547</v>
      </c>
      <c r="Q24" s="529">
        <v>0.4</v>
      </c>
      <c r="R24" s="528">
        <f t="shared" ref="R24:R36" si="4">+(Q24+S24)/2</f>
        <v>0.4</v>
      </c>
      <c r="S24" s="529">
        <v>0.4</v>
      </c>
      <c r="T24" s="529">
        <v>0.4</v>
      </c>
      <c r="V24" s="557"/>
      <c r="W24" s="557"/>
      <c r="X24" s="557"/>
      <c r="Y24" s="557"/>
    </row>
    <row r="25" spans="2:25" ht="18" customHeight="1">
      <c r="B25" s="144" t="str">
        <f>'EB1'!$B$5</f>
        <v>MIN</v>
      </c>
      <c r="C25" s="144"/>
      <c r="D25" s="144" t="str">
        <f t="shared" si="1"/>
        <v>MINAGRWST00</v>
      </c>
      <c r="E25" s="374" t="s">
        <v>797</v>
      </c>
      <c r="F25" s="144" t="str">
        <f t="shared" si="2"/>
        <v>PJ</v>
      </c>
      <c r="G25" s="144" t="str">
        <f t="shared" si="3"/>
        <v>PJa</v>
      </c>
      <c r="H25" s="144"/>
      <c r="I25" s="144"/>
      <c r="J25" s="144"/>
      <c r="P25" s="529" t="s">
        <v>548</v>
      </c>
      <c r="Q25" s="529">
        <v>9.1</v>
      </c>
      <c r="R25" s="528">
        <f t="shared" si="4"/>
        <v>9.1</v>
      </c>
      <c r="S25" s="529">
        <v>9.1</v>
      </c>
      <c r="T25" s="529">
        <v>9.1</v>
      </c>
      <c r="V25" s="557" t="s">
        <v>676</v>
      </c>
      <c r="W25" s="557"/>
      <c r="X25" s="557"/>
      <c r="Y25" s="557"/>
    </row>
    <row r="26" spans="2:25" ht="18" customHeight="1">
      <c r="B26" s="144" t="str">
        <f>'EB1'!$B$5</f>
        <v>MIN</v>
      </c>
      <c r="C26" s="144"/>
      <c r="D26" s="144" t="str">
        <f t="shared" si="1"/>
        <v>MINAGRWST01</v>
      </c>
      <c r="E26" s="374" t="s">
        <v>798</v>
      </c>
      <c r="F26" s="144" t="str">
        <f t="shared" si="2"/>
        <v>PJ</v>
      </c>
      <c r="G26" s="144" t="str">
        <f t="shared" si="3"/>
        <v>PJa</v>
      </c>
      <c r="H26" s="144"/>
      <c r="I26" s="144"/>
      <c r="J26" s="144"/>
      <c r="P26" s="529" t="s">
        <v>549</v>
      </c>
      <c r="Q26" s="529">
        <v>3.8</v>
      </c>
      <c r="R26" s="528">
        <f t="shared" si="4"/>
        <v>3.8</v>
      </c>
      <c r="S26" s="529">
        <v>3.8</v>
      </c>
      <c r="T26" s="529">
        <v>3.9</v>
      </c>
      <c r="V26" s="557" t="s">
        <v>677</v>
      </c>
      <c r="W26" s="557"/>
      <c r="X26" s="557" t="s">
        <v>675</v>
      </c>
      <c r="Y26" s="557">
        <v>56650</v>
      </c>
    </row>
    <row r="27" spans="2:25" ht="18" customHeight="1">
      <c r="B27" s="144" t="str">
        <f>'EB1'!$B$5</f>
        <v>MIN</v>
      </c>
      <c r="D27" s="144" t="str">
        <f t="shared" si="1"/>
        <v>MINMNCWST00</v>
      </c>
      <c r="E27" s="374" t="s">
        <v>800</v>
      </c>
      <c r="F27" s="144" t="str">
        <f t="shared" ref="F27:F43" si="5">$F$7</f>
        <v>PJ</v>
      </c>
      <c r="G27" s="144" t="str">
        <f t="shared" ref="G27:G32" si="6">$F$7&amp;"a"</f>
        <v>PJa</v>
      </c>
      <c r="P27" s="529" t="s">
        <v>550</v>
      </c>
      <c r="Q27" s="529">
        <v>1.5</v>
      </c>
      <c r="R27" s="528">
        <f t="shared" si="4"/>
        <v>1.5</v>
      </c>
      <c r="S27" s="529">
        <v>1.5</v>
      </c>
      <c r="T27" s="529">
        <v>1.6</v>
      </c>
      <c r="V27" s="557"/>
      <c r="W27" s="557"/>
      <c r="X27" s="557" t="s">
        <v>638</v>
      </c>
      <c r="Y27" s="557">
        <v>40400</v>
      </c>
    </row>
    <row r="28" spans="2:25" ht="18" customHeight="1">
      <c r="B28" s="144" t="str">
        <f>+B27</f>
        <v>MIN</v>
      </c>
      <c r="D28" s="144" t="str">
        <f t="shared" si="1"/>
        <v>MINANMMNR00</v>
      </c>
      <c r="E28" s="374" t="s">
        <v>802</v>
      </c>
      <c r="F28" s="144" t="str">
        <f t="shared" si="5"/>
        <v>PJ</v>
      </c>
      <c r="G28" s="144" t="str">
        <f t="shared" si="6"/>
        <v>PJa</v>
      </c>
      <c r="P28" s="529" t="s">
        <v>551</v>
      </c>
      <c r="Q28" s="529">
        <v>0.9</v>
      </c>
      <c r="R28" s="528">
        <f t="shared" si="4"/>
        <v>1</v>
      </c>
      <c r="S28" s="529">
        <v>1.1000000000000001</v>
      </c>
      <c r="T28" s="529">
        <v>1.2</v>
      </c>
      <c r="V28" s="557"/>
      <c r="W28" s="557"/>
      <c r="X28" s="557" t="s">
        <v>154</v>
      </c>
      <c r="Y28" s="557">
        <f>SUM(Y26:Y27)</f>
        <v>97050</v>
      </c>
    </row>
    <row r="29" spans="2:25" ht="18" customHeight="1">
      <c r="B29" s="144" t="str">
        <f>'EB1'!$B$5</f>
        <v>MIN</v>
      </c>
      <c r="D29" s="144" t="str">
        <f t="shared" si="1"/>
        <v>MINOILWST00</v>
      </c>
      <c r="E29" s="374" t="s">
        <v>804</v>
      </c>
      <c r="F29" s="144" t="str">
        <f t="shared" si="5"/>
        <v>PJ</v>
      </c>
      <c r="G29" s="144" t="str">
        <f t="shared" si="6"/>
        <v>PJa</v>
      </c>
      <c r="H29" s="515"/>
      <c r="P29" s="529" t="s">
        <v>552</v>
      </c>
      <c r="Q29" s="529">
        <v>2.8</v>
      </c>
      <c r="R29" s="528">
        <f t="shared" si="4"/>
        <v>2.8499999999999996</v>
      </c>
      <c r="S29" s="529">
        <v>2.9</v>
      </c>
      <c r="T29" s="529">
        <v>2.9</v>
      </c>
      <c r="V29" s="557"/>
      <c r="W29" s="557"/>
      <c r="X29" s="557"/>
      <c r="Y29" s="557"/>
    </row>
    <row r="30" spans="2:25" ht="18" customHeight="1">
      <c r="B30" s="144" t="str">
        <f>'EB1'!$B$5</f>
        <v>MIN</v>
      </c>
      <c r="D30" s="144" t="str">
        <f t="shared" si="1"/>
        <v>MINOILWST01</v>
      </c>
      <c r="E30" s="374" t="s">
        <v>805</v>
      </c>
      <c r="F30" s="144" t="str">
        <f t="shared" si="5"/>
        <v>PJ</v>
      </c>
      <c r="G30" s="144" t="str">
        <f t="shared" si="6"/>
        <v>PJa</v>
      </c>
      <c r="P30" s="529" t="s">
        <v>553</v>
      </c>
      <c r="Q30" s="529">
        <v>1.5</v>
      </c>
      <c r="R30" s="528">
        <f t="shared" si="4"/>
        <v>1.5</v>
      </c>
      <c r="S30" s="529">
        <v>1.5</v>
      </c>
      <c r="T30" s="529">
        <v>1.6</v>
      </c>
      <c r="V30" s="557"/>
      <c r="W30" s="557"/>
      <c r="X30" s="562" t="s">
        <v>675</v>
      </c>
      <c r="Y30" s="562">
        <f>Y26/Y28</f>
        <v>0.58371973209685724</v>
      </c>
    </row>
    <row r="31" spans="2:25" ht="18" customHeight="1">
      <c r="B31" s="144" t="str">
        <f>'EB1'!$B$5</f>
        <v>MIN</v>
      </c>
      <c r="D31" s="144" t="str">
        <f>+B57</f>
        <v>MINWODSUPCUR00</v>
      </c>
      <c r="E31" s="144" t="s">
        <v>814</v>
      </c>
      <c r="F31" s="144" t="str">
        <f t="shared" si="5"/>
        <v>PJ</v>
      </c>
      <c r="G31" s="144" t="str">
        <f t="shared" si="6"/>
        <v>PJa</v>
      </c>
      <c r="P31" s="529" t="s">
        <v>554</v>
      </c>
      <c r="Q31" s="529">
        <v>0.1</v>
      </c>
      <c r="R31" s="528">
        <f t="shared" si="4"/>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P32" s="529" t="s">
        <v>555</v>
      </c>
      <c r="Q32" s="529">
        <v>0.04</v>
      </c>
      <c r="R32" s="528">
        <f t="shared" si="4"/>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4"/>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P34" s="529" t="s">
        <v>557</v>
      </c>
      <c r="Q34" s="529">
        <v>0.6</v>
      </c>
      <c r="R34" s="528">
        <f t="shared" si="4"/>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P35" s="529" t="s">
        <v>558</v>
      </c>
      <c r="Q35" s="529">
        <v>0.2</v>
      </c>
      <c r="R35" s="528">
        <f t="shared" si="4"/>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P36" s="529" t="s">
        <v>559</v>
      </c>
      <c r="Q36" s="529">
        <v>4.5</v>
      </c>
      <c r="R36" s="528">
        <f t="shared" si="4"/>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+B70</f>
        <v>CT_CWODPLT</v>
      </c>
      <c r="E38" s="144" t="s">
        <v>577</v>
      </c>
      <c r="F38" s="144" t="str">
        <f t="shared" si="5"/>
        <v>PJ</v>
      </c>
      <c r="G38" s="144" t="s">
        <v>572</v>
      </c>
      <c r="V38" s="557"/>
      <c r="W38" s="557"/>
      <c r="X38" s="557"/>
      <c r="Y38" s="557"/>
    </row>
    <row r="39" spans="1:27" ht="18" customHeight="1">
      <c r="B39" s="528" t="s">
        <v>694</v>
      </c>
      <c r="D39" s="144" t="str">
        <f t="shared" ref="D39:D40" si="7">+B71</f>
        <v>CT_CWODBDS</v>
      </c>
      <c r="E39" s="144" t="s">
        <v>578</v>
      </c>
      <c r="F39" s="144" t="str">
        <f t="shared" si="5"/>
        <v>PJ</v>
      </c>
      <c r="G39" s="144" t="s">
        <v>572</v>
      </c>
      <c r="V39" s="557"/>
      <c r="W39" s="557"/>
      <c r="X39" s="562" t="s">
        <v>675</v>
      </c>
      <c r="Y39" s="562">
        <f>Y35/Y37</f>
        <v>0.75789473684210529</v>
      </c>
    </row>
    <row r="40" spans="1:27" ht="18" customHeight="1">
      <c r="B40" s="528" t="s">
        <v>87</v>
      </c>
      <c r="D40" s="144" t="str">
        <f t="shared" si="7"/>
        <v>CT_CWODETH</v>
      </c>
      <c r="E40" s="144" t="s">
        <v>579</v>
      </c>
      <c r="F40" s="144" t="str">
        <f t="shared" si="5"/>
        <v>PJ</v>
      </c>
      <c r="G40" s="144" t="s">
        <v>572</v>
      </c>
      <c r="V40" s="557"/>
      <c r="W40" s="557"/>
      <c r="X40" s="562" t="s">
        <v>638</v>
      </c>
      <c r="Y40" s="562">
        <f>Y36/Y37</f>
        <v>0.24210526315789471</v>
      </c>
    </row>
    <row r="41" spans="1:27" ht="18" customHeight="1">
      <c r="B41" s="528" t="s">
        <v>87</v>
      </c>
      <c r="D41" s="528" t="s">
        <v>812</v>
      </c>
      <c r="E41" s="144" t="s">
        <v>817</v>
      </c>
      <c r="F41" s="144" t="str">
        <f t="shared" si="5"/>
        <v>PJ</v>
      </c>
      <c r="G41" s="144" t="s">
        <v>572</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8">$F$7&amp;"a"</f>
        <v>PJa</v>
      </c>
      <c r="V43" s="557"/>
      <c r="W43" s="557"/>
      <c r="X43" s="557"/>
      <c r="Y43" s="557"/>
    </row>
    <row r="44" spans="1:27" ht="18" customHeight="1">
      <c r="V44" s="557" t="s">
        <v>680</v>
      </c>
      <c r="W44" s="557"/>
      <c r="X44" s="557"/>
      <c r="Y44" s="557"/>
    </row>
    <row r="45" spans="1:27" ht="18" customHeight="1">
      <c r="B45" s="530"/>
      <c r="C45" s="530"/>
      <c r="D45" s="376" t="s">
        <v>13</v>
      </c>
      <c r="F45" s="376"/>
      <c r="G45" s="530"/>
      <c r="H45" s="530"/>
      <c r="I45" s="530"/>
      <c r="J45" s="374"/>
      <c r="K45" s="374"/>
      <c r="L45" s="374"/>
      <c r="M45" s="531"/>
      <c r="N45" s="531"/>
      <c r="O45" s="531"/>
      <c r="P45" s="531"/>
      <c r="W45" s="557" t="s">
        <v>570</v>
      </c>
      <c r="X45" s="557"/>
      <c r="Y45" s="557" t="s">
        <v>675</v>
      </c>
      <c r="Z45" s="557">
        <f>0.94+0.07+0.313</f>
        <v>1.323</v>
      </c>
    </row>
    <row r="46" spans="1:27" ht="18" customHeight="1">
      <c r="A46"/>
      <c r="B46" s="377" t="s">
        <v>1</v>
      </c>
      <c r="C46" s="378" t="s">
        <v>5</v>
      </c>
      <c r="D46" s="377" t="s">
        <v>6</v>
      </c>
      <c r="E46" s="377" t="s">
        <v>539</v>
      </c>
      <c r="F46" s="377" t="s">
        <v>835</v>
      </c>
      <c r="G46" s="377" t="s">
        <v>349</v>
      </c>
      <c r="H46" s="377" t="s">
        <v>350</v>
      </c>
      <c r="I46" s="377" t="s">
        <v>351</v>
      </c>
      <c r="J46" s="377" t="s">
        <v>352</v>
      </c>
      <c r="K46" s="377" t="s">
        <v>569</v>
      </c>
      <c r="L46" s="377" t="s">
        <v>834</v>
      </c>
      <c r="M46" s="377" t="s">
        <v>806</v>
      </c>
      <c r="N46" s="377" t="s">
        <v>541</v>
      </c>
      <c r="O46" s="377" t="s">
        <v>792</v>
      </c>
      <c r="P46" s="377" t="s">
        <v>793</v>
      </c>
      <c r="Q46" s="377" t="s">
        <v>568</v>
      </c>
      <c r="X46" s="557"/>
      <c r="Y46" s="557"/>
      <c r="Z46" s="557" t="s">
        <v>638</v>
      </c>
      <c r="AA46" s="557">
        <f>0.58+0.05+0.02</f>
        <v>0.65</v>
      </c>
    </row>
    <row r="47" spans="1:27" ht="18" customHeight="1" thickBot="1">
      <c r="A47"/>
      <c r="B47" s="537" t="s">
        <v>39</v>
      </c>
      <c r="C47" s="537" t="s">
        <v>32</v>
      </c>
      <c r="D47" s="537" t="s">
        <v>33</v>
      </c>
      <c r="E47" s="537"/>
      <c r="F47" s="537" t="s">
        <v>79</v>
      </c>
      <c r="G47" s="537" t="s">
        <v>79</v>
      </c>
      <c r="H47" s="537" t="s">
        <v>79</v>
      </c>
      <c r="I47" s="537" t="s">
        <v>79</v>
      </c>
      <c r="J47" s="537" t="s">
        <v>79</v>
      </c>
      <c r="K47" s="537" t="s">
        <v>79</v>
      </c>
      <c r="L47" s="537" t="s">
        <v>78</v>
      </c>
      <c r="M47" s="537" t="s">
        <v>78</v>
      </c>
      <c r="N47" s="537" t="s">
        <v>78</v>
      </c>
      <c r="O47" s="537" t="s">
        <v>78</v>
      </c>
      <c r="P47" s="537" t="s">
        <v>78</v>
      </c>
      <c r="Q47" s="537" t="s">
        <v>78</v>
      </c>
      <c r="X47" s="557"/>
      <c r="Y47" s="557"/>
      <c r="Z47" s="557" t="s">
        <v>154</v>
      </c>
      <c r="AA47" s="557">
        <f>SUM(Z45:Z46)</f>
        <v>1.323</v>
      </c>
    </row>
    <row r="48" spans="1:27" ht="18" customHeight="1" thickBot="1">
      <c r="A48"/>
      <c r="B48" s="537" t="s">
        <v>77</v>
      </c>
      <c r="C48" s="537"/>
      <c r="D48" s="537"/>
      <c r="E48" s="537"/>
      <c r="F48" s="537" t="s">
        <v>355</v>
      </c>
      <c r="G48" s="537" t="s">
        <v>355</v>
      </c>
      <c r="H48" s="537" t="s">
        <v>355</v>
      </c>
      <c r="I48" s="537" t="s">
        <v>355</v>
      </c>
      <c r="J48" s="537" t="s">
        <v>355</v>
      </c>
      <c r="K48" s="537" t="s">
        <v>355</v>
      </c>
      <c r="L48" s="537" t="s">
        <v>69</v>
      </c>
      <c r="M48" s="537" t="s">
        <v>69</v>
      </c>
      <c r="N48" s="537" t="s">
        <v>69</v>
      </c>
      <c r="O48" s="537" t="s">
        <v>69</v>
      </c>
      <c r="P48" s="537" t="s">
        <v>69</v>
      </c>
      <c r="Q48" s="537" t="s">
        <v>69</v>
      </c>
      <c r="S48" s="591" t="s">
        <v>657</v>
      </c>
      <c r="X48" s="557"/>
      <c r="Y48" s="557"/>
      <c r="Z48" s="557"/>
      <c r="AA48" s="557"/>
    </row>
    <row r="49" spans="1:41" ht="18" customHeight="1">
      <c r="A49"/>
      <c r="B49" s="375" t="s">
        <v>631</v>
      </c>
      <c r="D49" s="374" t="s">
        <v>561</v>
      </c>
      <c r="E49" s="532"/>
      <c r="F49" s="532">
        <v>10.165398492644815</v>
      </c>
      <c r="G49" s="532">
        <v>10.177381700006304</v>
      </c>
      <c r="H49" s="532">
        <v>10.173162666394616</v>
      </c>
      <c r="I49" s="532">
        <v>10.194534881059296</v>
      </c>
      <c r="J49" s="528">
        <v>10.215714118758859</v>
      </c>
      <c r="K49" s="555"/>
      <c r="L49" s="532">
        <v>20.879935</v>
      </c>
      <c r="M49" s="532">
        <v>25.449953000000001</v>
      </c>
      <c r="N49" s="532">
        <v>22.412231999999999</v>
      </c>
      <c r="O49" s="532">
        <v>16.859831</v>
      </c>
      <c r="P49" s="532">
        <v>17.158083999999999</v>
      </c>
      <c r="Q49" s="528">
        <v>5</v>
      </c>
      <c r="V49" s="557"/>
      <c r="W49" s="557"/>
      <c r="X49" s="562" t="s">
        <v>675</v>
      </c>
      <c r="Y49" s="562">
        <f>Z45/AA47</f>
        <v>1</v>
      </c>
    </row>
    <row r="50" spans="1:41" ht="18" customHeight="1">
      <c r="B50" s="375" t="s">
        <v>632</v>
      </c>
      <c r="D50" s="374" t="s">
        <v>561</v>
      </c>
      <c r="E50" s="532">
        <v>2040</v>
      </c>
      <c r="F50" s="532">
        <v>15.586085261675063</v>
      </c>
      <c r="G50" s="532"/>
      <c r="H50" s="532"/>
      <c r="I50" s="532"/>
      <c r="K50" s="555"/>
      <c r="L50" s="532">
        <v>0</v>
      </c>
      <c r="M50" s="532"/>
      <c r="N50" s="532"/>
      <c r="O50" s="532">
        <v>0</v>
      </c>
      <c r="P50" s="532"/>
      <c r="Q50" s="528">
        <v>1</v>
      </c>
      <c r="V50" s="557"/>
      <c r="W50" s="557"/>
      <c r="X50" s="562" t="s">
        <v>638</v>
      </c>
      <c r="Y50" s="562">
        <f>AA46/AA47</f>
        <v>0.49130763416477707</v>
      </c>
    </row>
    <row r="51" spans="1:41" ht="18" customHeight="1">
      <c r="B51" s="375" t="s">
        <v>796</v>
      </c>
      <c r="D51" s="374" t="s">
        <v>563</v>
      </c>
      <c r="E51" s="532"/>
      <c r="F51" s="532">
        <v>14.3</v>
      </c>
      <c r="G51" s="532"/>
      <c r="H51" s="532"/>
      <c r="I51" s="532"/>
      <c r="K51" s="555"/>
      <c r="L51" s="532">
        <v>1.2076919209443053</v>
      </c>
      <c r="M51" s="532">
        <v>1.241662</v>
      </c>
      <c r="N51" s="532">
        <v>1.2664957592915125</v>
      </c>
      <c r="O51" s="532">
        <v>1.2918253598818499</v>
      </c>
      <c r="P51" s="532">
        <v>1.3176616802361167</v>
      </c>
      <c r="Q51" s="528">
        <v>5</v>
      </c>
    </row>
    <row r="52" spans="1:41" ht="18" customHeight="1">
      <c r="B52" s="375" t="s">
        <v>633</v>
      </c>
      <c r="D52" s="374" t="s">
        <v>563</v>
      </c>
      <c r="E52" s="532"/>
      <c r="F52" s="532">
        <v>3.2</v>
      </c>
      <c r="G52" s="532"/>
      <c r="H52" s="532"/>
      <c r="I52" s="532"/>
      <c r="K52" s="555"/>
      <c r="L52" s="532">
        <v>0.4977068</v>
      </c>
      <c r="M52" s="532">
        <v>0.51170613258022424</v>
      </c>
      <c r="N52" s="532">
        <v>0.52194082172014944</v>
      </c>
      <c r="O52" s="532">
        <v>0.53237959999999995</v>
      </c>
      <c r="P52" s="532">
        <v>0.54302719999999993</v>
      </c>
      <c r="Q52" s="528">
        <v>5</v>
      </c>
      <c r="V52" s="557" t="s">
        <v>681</v>
      </c>
      <c r="W52" s="557"/>
      <c r="X52" s="557"/>
      <c r="Y52" s="557"/>
    </row>
    <row r="53" spans="1:41" ht="18" customHeight="1">
      <c r="B53" s="375" t="s">
        <v>799</v>
      </c>
      <c r="D53" s="374" t="s">
        <v>564</v>
      </c>
      <c r="E53" s="532"/>
      <c r="F53" s="532">
        <v>14.6</v>
      </c>
      <c r="G53" s="532"/>
      <c r="H53" s="532"/>
      <c r="I53" s="532"/>
      <c r="K53" s="555"/>
      <c r="L53" s="532">
        <v>2.9178947368421051</v>
      </c>
      <c r="M53" s="532"/>
      <c r="N53" s="532">
        <v>3.0315789473684212</v>
      </c>
      <c r="O53" s="532"/>
      <c r="P53" s="532"/>
      <c r="Q53" s="528">
        <v>5</v>
      </c>
      <c r="V53" s="557" t="s">
        <v>567</v>
      </c>
      <c r="W53" s="557"/>
      <c r="X53" s="557" t="s">
        <v>675</v>
      </c>
      <c r="Y53" s="557">
        <f>0.41+0.36</f>
        <v>0.77</v>
      </c>
    </row>
    <row r="54" spans="1:41" ht="18" customHeight="1">
      <c r="B54" s="375" t="s">
        <v>801</v>
      </c>
      <c r="D54" s="374" t="s">
        <v>571</v>
      </c>
      <c r="E54" s="532"/>
      <c r="F54" s="532">
        <v>14.6</v>
      </c>
      <c r="G54" s="532"/>
      <c r="H54" s="532"/>
      <c r="I54" s="532"/>
      <c r="K54" s="555"/>
      <c r="L54" s="532">
        <v>1.823902686264572</v>
      </c>
      <c r="M54" s="532"/>
      <c r="N54" s="532">
        <v>1.8104916371008619</v>
      </c>
      <c r="O54" s="532"/>
      <c r="P54" s="532"/>
      <c r="Q54" s="528">
        <v>5</v>
      </c>
      <c r="V54" s="557"/>
      <c r="W54" s="557"/>
      <c r="X54" s="557" t="s">
        <v>638</v>
      </c>
      <c r="Y54" s="557">
        <f>0.16+0.3</f>
        <v>0.45999999999999996</v>
      </c>
    </row>
    <row r="55" spans="1:41" ht="18" customHeight="1">
      <c r="B55" s="375" t="s">
        <v>803</v>
      </c>
      <c r="D55" s="374" t="s">
        <v>566</v>
      </c>
      <c r="E55" s="532"/>
      <c r="F55" s="532">
        <v>34</v>
      </c>
      <c r="G55" s="532"/>
      <c r="H55" s="532"/>
      <c r="I55" s="532"/>
      <c r="K55" s="555"/>
      <c r="L55" s="532">
        <v>0.12520325203252033</v>
      </c>
      <c r="M55" s="532"/>
      <c r="N55" s="532">
        <v>0.12520325203252033</v>
      </c>
      <c r="O55" s="532"/>
      <c r="P55" s="532"/>
      <c r="Q55" s="528">
        <v>5</v>
      </c>
      <c r="V55" s="557"/>
      <c r="W55" s="557"/>
      <c r="X55" s="557" t="s">
        <v>154</v>
      </c>
      <c r="Y55" s="557">
        <f>SUM(Y53:Y54)</f>
        <v>1.23</v>
      </c>
    </row>
    <row r="56" spans="1:41" ht="18" customHeight="1">
      <c r="B56" s="375" t="s">
        <v>634</v>
      </c>
      <c r="D56" s="374" t="s">
        <v>566</v>
      </c>
      <c r="E56" s="532"/>
      <c r="F56" s="532">
        <v>34</v>
      </c>
      <c r="G56" s="532"/>
      <c r="H56" s="532"/>
      <c r="I56" s="532"/>
      <c r="K56" s="555"/>
      <c r="L56" s="532">
        <v>2.8170731707317076</v>
      </c>
      <c r="M56" s="532"/>
      <c r="N56" s="532">
        <v>2.8170731707317076</v>
      </c>
      <c r="O56" s="532"/>
      <c r="P56" s="532"/>
      <c r="Q56" s="528">
        <v>5</v>
      </c>
      <c r="V56" s="557"/>
      <c r="W56" s="557"/>
      <c r="X56" s="557"/>
      <c r="Y56" s="557"/>
    </row>
    <row r="57" spans="1:41" ht="18" customHeight="1">
      <c r="B57" s="375" t="s">
        <v>813</v>
      </c>
      <c r="C57" s="374"/>
      <c r="D57" s="374" t="s">
        <v>182</v>
      </c>
      <c r="E57" s="532"/>
      <c r="F57" s="598">
        <f>+F49/3</f>
        <v>3.3884661642149383</v>
      </c>
      <c r="G57" s="532"/>
      <c r="H57" s="532"/>
      <c r="I57" s="532"/>
      <c r="K57" s="555"/>
      <c r="L57" s="555">
        <v>57</v>
      </c>
      <c r="M57" s="555"/>
      <c r="Q57" s="528">
        <v>3</v>
      </c>
      <c r="V57" s="557"/>
      <c r="W57" s="557"/>
      <c r="X57" s="562" t="s">
        <v>675</v>
      </c>
      <c r="Y57" s="562">
        <f>Y53/Y55</f>
        <v>0.6260162601626017</v>
      </c>
    </row>
    <row r="58" spans="1:41" ht="18" customHeight="1">
      <c r="B58" s="375"/>
      <c r="C58" s="374"/>
      <c r="D58" s="374"/>
      <c r="K58" s="555"/>
      <c r="L58" s="555"/>
      <c r="M58" s="555"/>
      <c r="V58" s="557"/>
      <c r="W58" s="557"/>
      <c r="X58" s="562" t="s">
        <v>638</v>
      </c>
      <c r="Y58" s="562">
        <f>Y54/Y55</f>
        <v>0.37398373983739835</v>
      </c>
    </row>
    <row r="60" spans="1:41" ht="18" customHeight="1">
      <c r="D60" s="533"/>
    </row>
    <row r="61" spans="1:41" ht="18" customHeight="1">
      <c r="B61" s="599" t="s">
        <v>1</v>
      </c>
      <c r="C61" s="600" t="s">
        <v>5</v>
      </c>
      <c r="D61" s="600" t="s">
        <v>6</v>
      </c>
      <c r="E61" s="600" t="s">
        <v>74</v>
      </c>
      <c r="F61" s="600" t="s">
        <v>696</v>
      </c>
      <c r="G61" s="600" t="s">
        <v>364</v>
      </c>
      <c r="H61" s="600" t="s">
        <v>365</v>
      </c>
      <c r="I61" s="600" t="s">
        <v>366</v>
      </c>
      <c r="J61" s="600" t="s">
        <v>414</v>
      </c>
      <c r="K61" s="600" t="s">
        <v>367</v>
      </c>
      <c r="L61" s="600" t="s">
        <v>368</v>
      </c>
      <c r="M61" s="600" t="s">
        <v>697</v>
      </c>
      <c r="N61" s="600" t="s">
        <v>369</v>
      </c>
      <c r="O61" s="600" t="s">
        <v>370</v>
      </c>
      <c r="P61" s="600" t="s">
        <v>371</v>
      </c>
      <c r="Q61" s="600" t="s">
        <v>415</v>
      </c>
      <c r="R61" s="600" t="s">
        <v>372</v>
      </c>
      <c r="S61" s="600" t="s">
        <v>373</v>
      </c>
      <c r="T61" s="600" t="s">
        <v>698</v>
      </c>
      <c r="U61" s="600" t="s">
        <v>374</v>
      </c>
      <c r="V61" s="600" t="s">
        <v>375</v>
      </c>
      <c r="W61" s="600" t="s">
        <v>376</v>
      </c>
      <c r="X61" s="600" t="s">
        <v>416</v>
      </c>
      <c r="Y61" s="600" t="s">
        <v>377</v>
      </c>
      <c r="Z61" s="600" t="s">
        <v>378</v>
      </c>
      <c r="AA61" s="600" t="s">
        <v>699</v>
      </c>
      <c r="AB61" s="600" t="s">
        <v>379</v>
      </c>
      <c r="AC61" s="600" t="s">
        <v>380</v>
      </c>
      <c r="AD61" s="600" t="s">
        <v>381</v>
      </c>
      <c r="AE61" s="600" t="s">
        <v>417</v>
      </c>
      <c r="AF61" s="600" t="s">
        <v>382</v>
      </c>
      <c r="AG61" s="600" t="s">
        <v>383</v>
      </c>
      <c r="AH61" s="600" t="s">
        <v>384</v>
      </c>
      <c r="AI61" s="599" t="s">
        <v>669</v>
      </c>
      <c r="AJ61" s="599" t="s">
        <v>582</v>
      </c>
      <c r="AK61" s="601" t="s">
        <v>388</v>
      </c>
      <c r="AL61" s="602" t="s">
        <v>389</v>
      </c>
      <c r="AM61" s="603" t="s">
        <v>583</v>
      </c>
      <c r="AN61" s="603" t="s">
        <v>486</v>
      </c>
      <c r="AO61" s="603" t="s">
        <v>568</v>
      </c>
    </row>
    <row r="62" spans="1:41" ht="18" customHeight="1" thickBot="1">
      <c r="B62" s="604" t="s">
        <v>39</v>
      </c>
      <c r="C62" s="605" t="s">
        <v>32</v>
      </c>
      <c r="D62" s="605" t="s">
        <v>33</v>
      </c>
      <c r="E62" s="605" t="s">
        <v>76</v>
      </c>
      <c r="F62" s="605" t="s">
        <v>76</v>
      </c>
      <c r="G62" s="605" t="s">
        <v>76</v>
      </c>
      <c r="H62" s="605" t="s">
        <v>76</v>
      </c>
      <c r="I62" s="605" t="s">
        <v>76</v>
      </c>
      <c r="J62" s="605" t="s">
        <v>76</v>
      </c>
      <c r="K62" s="605" t="s">
        <v>390</v>
      </c>
      <c r="L62" s="605" t="s">
        <v>658</v>
      </c>
      <c r="M62" s="605" t="s">
        <v>658</v>
      </c>
      <c r="N62" s="605" t="s">
        <v>658</v>
      </c>
      <c r="O62" s="605" t="s">
        <v>658</v>
      </c>
      <c r="P62" s="605" t="s">
        <v>658</v>
      </c>
      <c r="Q62" s="605" t="s">
        <v>658</v>
      </c>
      <c r="R62" s="605" t="s">
        <v>391</v>
      </c>
      <c r="S62" s="605" t="s">
        <v>659</v>
      </c>
      <c r="T62" s="605" t="s">
        <v>659</v>
      </c>
      <c r="U62" s="605" t="s">
        <v>659</v>
      </c>
      <c r="V62" s="605" t="s">
        <v>659</v>
      </c>
      <c r="W62" s="605" t="s">
        <v>659</v>
      </c>
      <c r="X62" s="605" t="s">
        <v>659</v>
      </c>
      <c r="Y62" s="605" t="s">
        <v>392</v>
      </c>
      <c r="Z62" s="605" t="s">
        <v>660</v>
      </c>
      <c r="AA62" s="605" t="s">
        <v>660</v>
      </c>
      <c r="AB62" s="605" t="s">
        <v>660</v>
      </c>
      <c r="AC62" s="605" t="s">
        <v>660</v>
      </c>
      <c r="AD62" s="605" t="s">
        <v>660</v>
      </c>
      <c r="AE62" s="605" t="s">
        <v>660</v>
      </c>
      <c r="AF62" s="605" t="s">
        <v>393</v>
      </c>
      <c r="AG62" s="605" t="s">
        <v>394</v>
      </c>
      <c r="AH62" s="605" t="s">
        <v>395</v>
      </c>
      <c r="AI62" s="605" t="s">
        <v>396</v>
      </c>
      <c r="AJ62" s="605" t="s">
        <v>396</v>
      </c>
      <c r="AK62" s="606" t="s">
        <v>399</v>
      </c>
      <c r="AL62" s="607" t="s">
        <v>400</v>
      </c>
      <c r="AM62" s="608"/>
      <c r="AN62" s="608"/>
      <c r="AO62" s="608"/>
    </row>
    <row r="63" spans="1:41" ht="18" customHeight="1">
      <c r="B63" s="609" t="str">
        <f>+D36</f>
        <v>REF_ANMMNR</v>
      </c>
      <c r="C63" s="610" t="str">
        <f>+D10</f>
        <v>ANMMNR</v>
      </c>
      <c r="D63" s="610" t="s">
        <v>181</v>
      </c>
      <c r="E63" s="611">
        <v>0.375</v>
      </c>
      <c r="F63" s="611"/>
      <c r="G63" s="611"/>
      <c r="H63" s="611"/>
      <c r="I63" s="611"/>
      <c r="J63" s="611"/>
      <c r="K63" s="612">
        <v>3</v>
      </c>
      <c r="L63" s="613">
        <v>1490</v>
      </c>
      <c r="M63" s="613">
        <v>1490</v>
      </c>
      <c r="N63" s="613">
        <v>1490</v>
      </c>
      <c r="O63" s="613">
        <v>1490</v>
      </c>
      <c r="P63" s="613">
        <v>1490</v>
      </c>
      <c r="Q63" s="613">
        <v>1490</v>
      </c>
      <c r="R63" s="613">
        <v>3</v>
      </c>
      <c r="S63" s="614">
        <f>+L63*5%</f>
        <v>74.5</v>
      </c>
      <c r="T63" s="614">
        <f t="shared" ref="T63:X66" si="9">+M63*5%</f>
        <v>74.5</v>
      </c>
      <c r="U63" s="614">
        <f t="shared" si="9"/>
        <v>74.5</v>
      </c>
      <c r="V63" s="614">
        <f t="shared" si="9"/>
        <v>74.5</v>
      </c>
      <c r="W63" s="614">
        <f t="shared" si="9"/>
        <v>74.5</v>
      </c>
      <c r="X63" s="614">
        <f t="shared" si="9"/>
        <v>74.5</v>
      </c>
      <c r="Y63" s="613">
        <v>3</v>
      </c>
      <c r="Z63" s="614">
        <v>1.6389999999999998</v>
      </c>
      <c r="AA63" s="614">
        <v>1.6389999999999998</v>
      </c>
      <c r="AB63" s="614">
        <v>1.6389999999999998</v>
      </c>
      <c r="AC63" s="614">
        <v>1.6389999999999998</v>
      </c>
      <c r="AD63" s="614">
        <v>1.6389999999999998</v>
      </c>
      <c r="AE63" s="614">
        <v>1.6389999999999998</v>
      </c>
      <c r="AF63" s="613">
        <v>3</v>
      </c>
      <c r="AG63" s="611">
        <v>0.85616438356164382</v>
      </c>
      <c r="AH63" s="613">
        <v>20</v>
      </c>
      <c r="AI63" s="613"/>
      <c r="AJ63" s="613"/>
      <c r="AK63" s="615">
        <v>2.5000000000000001E-2</v>
      </c>
      <c r="AL63" s="616">
        <v>31.536000000000001</v>
      </c>
      <c r="AM63" s="608"/>
      <c r="AN63" s="608"/>
      <c r="AO63" s="608"/>
    </row>
    <row r="64" spans="1:41" ht="18" customHeight="1">
      <c r="B64" s="609" t="str">
        <f>+D33</f>
        <v>REF_WODWST</v>
      </c>
      <c r="C64" s="610" t="str">
        <f>+D7</f>
        <v>WODWST</v>
      </c>
      <c r="D64" s="610" t="s">
        <v>181</v>
      </c>
      <c r="E64" s="611">
        <v>0.60000000000000009</v>
      </c>
      <c r="F64" s="611">
        <v>0.60000000000000009</v>
      </c>
      <c r="G64" s="611">
        <v>0.63000000000000012</v>
      </c>
      <c r="H64" s="611">
        <v>0.66000000000000014</v>
      </c>
      <c r="I64" s="611">
        <v>0.69000000000000006</v>
      </c>
      <c r="J64" s="611">
        <v>0.69000000000000006</v>
      </c>
      <c r="K64" s="612">
        <v>3</v>
      </c>
      <c r="L64" s="613">
        <v>1788</v>
      </c>
      <c r="M64" s="613">
        <v>1788</v>
      </c>
      <c r="N64" s="613">
        <v>1788</v>
      </c>
      <c r="O64" s="613">
        <v>1788</v>
      </c>
      <c r="P64" s="613">
        <v>1788</v>
      </c>
      <c r="Q64" s="613">
        <v>1788</v>
      </c>
      <c r="R64" s="613">
        <v>3</v>
      </c>
      <c r="S64" s="614">
        <f t="shared" ref="S64:S66" si="10">+L64*5%</f>
        <v>89.4</v>
      </c>
      <c r="T64" s="614">
        <f t="shared" si="9"/>
        <v>89.4</v>
      </c>
      <c r="U64" s="614">
        <f t="shared" si="9"/>
        <v>89.4</v>
      </c>
      <c r="V64" s="614">
        <f t="shared" si="9"/>
        <v>89.4</v>
      </c>
      <c r="W64" s="614">
        <f t="shared" si="9"/>
        <v>89.4</v>
      </c>
      <c r="X64" s="614">
        <f t="shared" si="9"/>
        <v>89.4</v>
      </c>
      <c r="Y64" s="613">
        <v>3</v>
      </c>
      <c r="Z64" s="614">
        <v>2.6819999999999999</v>
      </c>
      <c r="AA64" s="614">
        <v>2.6819999999999999</v>
      </c>
      <c r="AB64" s="614">
        <v>2.6819999999999999</v>
      </c>
      <c r="AC64" s="614">
        <v>2.6819999999999999</v>
      </c>
      <c r="AD64" s="614">
        <v>2.6819999999999999</v>
      </c>
      <c r="AE64" s="614">
        <v>2.6819999999999999</v>
      </c>
      <c r="AF64" s="613">
        <v>3</v>
      </c>
      <c r="AG64" s="611">
        <v>0.91324200913242004</v>
      </c>
      <c r="AH64" s="613">
        <v>20</v>
      </c>
      <c r="AI64" s="613"/>
      <c r="AJ64" s="613"/>
      <c r="AK64" s="615">
        <v>2.5000000000000001E-2</v>
      </c>
      <c r="AL64" s="616">
        <v>31.536000000000001</v>
      </c>
      <c r="AM64" s="608"/>
      <c r="AN64" s="608"/>
      <c r="AO64" s="608"/>
    </row>
    <row r="65" spans="2:41" ht="18" customHeight="1">
      <c r="B65" s="609" t="str">
        <f>+D34</f>
        <v>REF_AGRWST</v>
      </c>
      <c r="C65" s="610" t="str">
        <f>+D8</f>
        <v>AGRWST</v>
      </c>
      <c r="D65" s="610" t="s">
        <v>181</v>
      </c>
      <c r="E65" s="611">
        <v>0.66666666666666663</v>
      </c>
      <c r="F65" s="611"/>
      <c r="G65" s="611"/>
      <c r="H65" s="611"/>
      <c r="I65" s="611"/>
      <c r="J65" s="611"/>
      <c r="K65" s="612">
        <v>3</v>
      </c>
      <c r="L65" s="613">
        <v>1475.1</v>
      </c>
      <c r="M65" s="613">
        <v>1445.2999999999997</v>
      </c>
      <c r="N65" s="613">
        <v>1415.5</v>
      </c>
      <c r="O65" s="613">
        <v>1415.5</v>
      </c>
      <c r="P65" s="613">
        <v>1415.5</v>
      </c>
      <c r="Q65" s="613">
        <v>1415.5</v>
      </c>
      <c r="R65" s="613">
        <v>3</v>
      </c>
      <c r="S65" s="614">
        <f t="shared" si="10"/>
        <v>73.754999999999995</v>
      </c>
      <c r="T65" s="614">
        <f t="shared" si="9"/>
        <v>72.264999999999986</v>
      </c>
      <c r="U65" s="614">
        <f t="shared" si="9"/>
        <v>70.775000000000006</v>
      </c>
      <c r="V65" s="614">
        <f t="shared" si="9"/>
        <v>70.775000000000006</v>
      </c>
      <c r="W65" s="614">
        <f t="shared" si="9"/>
        <v>70.775000000000006</v>
      </c>
      <c r="X65" s="614">
        <f t="shared" si="9"/>
        <v>70.775000000000006</v>
      </c>
      <c r="Y65" s="613">
        <v>3</v>
      </c>
      <c r="Z65" s="614">
        <v>1.6389999999999998</v>
      </c>
      <c r="AA65" s="614">
        <v>1.6389999999999998</v>
      </c>
      <c r="AB65" s="614">
        <v>1.6389999999999998</v>
      </c>
      <c r="AC65" s="614">
        <v>1.6389999999999998</v>
      </c>
      <c r="AD65" s="614">
        <v>1.6389999999999998</v>
      </c>
      <c r="AE65" s="614">
        <v>1.6389999999999998</v>
      </c>
      <c r="AF65" s="613">
        <v>3</v>
      </c>
      <c r="AG65" s="611">
        <v>0.85616438356164382</v>
      </c>
      <c r="AH65" s="613">
        <v>20</v>
      </c>
      <c r="AI65" s="613"/>
      <c r="AJ65" s="613"/>
      <c r="AK65" s="615">
        <v>2.5000000000000001E-2</v>
      </c>
      <c r="AL65" s="616">
        <v>31.536000000000001</v>
      </c>
      <c r="AM65" s="608"/>
      <c r="AN65" s="608"/>
      <c r="AO65" s="608"/>
    </row>
    <row r="66" spans="2:41" ht="18" customHeight="1">
      <c r="B66" s="610" t="s">
        <v>573</v>
      </c>
      <c r="C66" s="610" t="s">
        <v>181</v>
      </c>
      <c r="D66" s="610" t="s">
        <v>670</v>
      </c>
      <c r="E66" s="611">
        <v>0.9126505487192591</v>
      </c>
      <c r="F66" s="611">
        <v>0.9126505487192591</v>
      </c>
      <c r="G66" s="611">
        <v>0.92510036581283939</v>
      </c>
      <c r="H66" s="611">
        <v>0.93755018290641967</v>
      </c>
      <c r="I66" s="611">
        <v>0.95</v>
      </c>
      <c r="J66" s="611">
        <v>0.95</v>
      </c>
      <c r="K66" s="612">
        <v>3</v>
      </c>
      <c r="L66" s="613">
        <v>2086</v>
      </c>
      <c r="M66" s="613">
        <v>1937</v>
      </c>
      <c r="N66" s="613">
        <v>1788</v>
      </c>
      <c r="O66" s="613">
        <v>1639</v>
      </c>
      <c r="P66" s="613">
        <v>1490</v>
      </c>
      <c r="Q66" s="613">
        <v>1490</v>
      </c>
      <c r="R66" s="613">
        <v>3</v>
      </c>
      <c r="S66" s="614">
        <f t="shared" si="10"/>
        <v>104.30000000000001</v>
      </c>
      <c r="T66" s="614">
        <f t="shared" si="9"/>
        <v>96.850000000000009</v>
      </c>
      <c r="U66" s="614">
        <f t="shared" si="9"/>
        <v>89.4</v>
      </c>
      <c r="V66" s="614">
        <f t="shared" si="9"/>
        <v>81.95</v>
      </c>
      <c r="W66" s="614">
        <f t="shared" si="9"/>
        <v>74.5</v>
      </c>
      <c r="X66" s="614">
        <f t="shared" si="9"/>
        <v>74.5</v>
      </c>
      <c r="Y66" s="613">
        <v>3</v>
      </c>
      <c r="Z66" s="614">
        <v>3.2779999999999996</v>
      </c>
      <c r="AA66" s="614">
        <v>3.2779999999999996</v>
      </c>
      <c r="AB66" s="614">
        <v>3.2779999999999996</v>
      </c>
      <c r="AC66" s="614">
        <v>3.2779999999999996</v>
      </c>
      <c r="AD66" s="614">
        <v>3.2779999999999996</v>
      </c>
      <c r="AE66" s="614">
        <v>3.2779999999999996</v>
      </c>
      <c r="AF66" s="613">
        <v>3</v>
      </c>
      <c r="AG66" s="611">
        <v>0.97031963470319638</v>
      </c>
      <c r="AH66" s="613">
        <v>20</v>
      </c>
      <c r="AI66" s="617">
        <v>-53.96</v>
      </c>
      <c r="AJ66" s="613"/>
      <c r="AK66" s="615">
        <v>2.5000000000000001E-2</v>
      </c>
      <c r="AL66" s="616">
        <v>31.536000000000001</v>
      </c>
      <c r="AM66" s="608"/>
      <c r="AN66" s="608"/>
      <c r="AO66" s="608"/>
    </row>
    <row r="67" spans="2:41" ht="18" customHeight="1">
      <c r="B67" s="610"/>
      <c r="C67" s="610"/>
      <c r="D67" s="610" t="s">
        <v>671</v>
      </c>
      <c r="E67" s="611"/>
      <c r="F67" s="611"/>
      <c r="G67" s="611"/>
      <c r="H67" s="611"/>
      <c r="I67" s="611"/>
      <c r="J67" s="611"/>
      <c r="K67" s="612"/>
      <c r="L67" s="613"/>
      <c r="M67" s="613"/>
      <c r="N67" s="613"/>
      <c r="O67" s="613"/>
      <c r="P67" s="613"/>
      <c r="Q67" s="613"/>
      <c r="R67" s="613"/>
      <c r="S67" s="614"/>
      <c r="T67" s="614"/>
      <c r="U67" s="614"/>
      <c r="V67" s="614"/>
      <c r="W67" s="614"/>
      <c r="X67" s="614"/>
      <c r="Y67" s="613"/>
      <c r="Z67" s="614"/>
      <c r="AA67" s="614"/>
      <c r="AB67" s="614"/>
      <c r="AC67" s="614"/>
      <c r="AD67" s="614"/>
      <c r="AE67" s="614"/>
      <c r="AF67" s="613"/>
      <c r="AG67" s="611"/>
      <c r="AH67" s="613"/>
      <c r="AI67" s="617"/>
      <c r="AJ67" s="613"/>
      <c r="AK67" s="615"/>
      <c r="AL67" s="616"/>
      <c r="AM67" s="608"/>
      <c r="AN67" s="608"/>
      <c r="AO67" s="608"/>
    </row>
    <row r="68" spans="2:41" ht="18" customHeight="1">
      <c r="B68" s="610"/>
      <c r="C68" s="610"/>
      <c r="D68" s="610" t="s">
        <v>672</v>
      </c>
      <c r="E68" s="611"/>
      <c r="F68" s="611"/>
      <c r="G68" s="611"/>
      <c r="H68" s="611"/>
      <c r="I68" s="611"/>
      <c r="J68" s="611"/>
      <c r="K68" s="612"/>
      <c r="L68" s="613"/>
      <c r="M68" s="613"/>
      <c r="N68" s="613"/>
      <c r="O68" s="613"/>
      <c r="P68" s="613"/>
      <c r="Q68" s="613"/>
      <c r="R68" s="613"/>
      <c r="S68" s="614"/>
      <c r="T68" s="614"/>
      <c r="U68" s="614"/>
      <c r="V68" s="614"/>
      <c r="W68" s="614"/>
      <c r="X68" s="614"/>
      <c r="Y68" s="613"/>
      <c r="Z68" s="614"/>
      <c r="AA68" s="614"/>
      <c r="AB68" s="614"/>
      <c r="AC68" s="614"/>
      <c r="AD68" s="614"/>
      <c r="AE68" s="614"/>
      <c r="AF68" s="613"/>
      <c r="AG68" s="611"/>
      <c r="AH68" s="613"/>
      <c r="AI68" s="617"/>
      <c r="AJ68" s="613"/>
      <c r="AK68" s="615"/>
      <c r="AL68" s="616"/>
      <c r="AM68" s="608"/>
      <c r="AN68" s="608"/>
      <c r="AO68" s="608"/>
    </row>
    <row r="69" spans="2:41" ht="18" customHeight="1">
      <c r="B69" s="610"/>
      <c r="C69" s="610"/>
      <c r="D69" s="610" t="s">
        <v>673</v>
      </c>
      <c r="E69" s="611"/>
      <c r="F69" s="611"/>
      <c r="G69" s="611"/>
      <c r="H69" s="611"/>
      <c r="I69" s="611"/>
      <c r="J69" s="611"/>
      <c r="K69" s="612"/>
      <c r="L69" s="613"/>
      <c r="M69" s="613"/>
      <c r="N69" s="613"/>
      <c r="O69" s="613"/>
      <c r="P69" s="613"/>
      <c r="Q69" s="613"/>
      <c r="R69" s="613"/>
      <c r="S69" s="614"/>
      <c r="T69" s="614"/>
      <c r="U69" s="614"/>
      <c r="V69" s="614"/>
      <c r="W69" s="614"/>
      <c r="X69" s="614"/>
      <c r="Y69" s="613"/>
      <c r="Z69" s="614"/>
      <c r="AA69" s="614"/>
      <c r="AB69" s="614"/>
      <c r="AC69" s="614"/>
      <c r="AD69" s="614"/>
      <c r="AE69" s="614"/>
      <c r="AF69" s="613"/>
      <c r="AG69" s="611"/>
      <c r="AH69" s="613"/>
      <c r="AI69" s="617"/>
      <c r="AJ69" s="613"/>
      <c r="AK69" s="615"/>
      <c r="AL69" s="616"/>
      <c r="AM69" s="608"/>
      <c r="AN69" s="608"/>
      <c r="AO69" s="608"/>
    </row>
    <row r="70" spans="2:41" ht="18" customHeight="1">
      <c r="B70" s="610" t="s">
        <v>401</v>
      </c>
      <c r="C70" s="610" t="str">
        <f>+D49</f>
        <v>WODWST</v>
      </c>
      <c r="D70" s="610" t="s">
        <v>402</v>
      </c>
      <c r="E70" s="611">
        <v>0.84000000000000008</v>
      </c>
      <c r="F70" s="611">
        <v>0.84000000000000008</v>
      </c>
      <c r="G70" s="611">
        <v>0.84000000000000008</v>
      </c>
      <c r="H70" s="611">
        <v>0.84000000000000008</v>
      </c>
      <c r="I70" s="611">
        <v>0.84000000000000008</v>
      </c>
      <c r="J70" s="611">
        <v>0.84000000000000008</v>
      </c>
      <c r="K70" s="612">
        <v>3</v>
      </c>
      <c r="L70" s="613">
        <v>1043</v>
      </c>
      <c r="M70" s="613">
        <v>1043</v>
      </c>
      <c r="N70" s="613">
        <v>1043</v>
      </c>
      <c r="O70" s="613">
        <v>1043</v>
      </c>
      <c r="P70" s="613">
        <v>1043</v>
      </c>
      <c r="Q70" s="613">
        <v>1043</v>
      </c>
      <c r="R70" s="613">
        <v>3</v>
      </c>
      <c r="S70" s="614">
        <f>+L70*5%</f>
        <v>52.150000000000006</v>
      </c>
      <c r="T70" s="614">
        <f t="shared" ref="T70:X73" si="11">+M70*5%</f>
        <v>52.150000000000006</v>
      </c>
      <c r="U70" s="614">
        <f t="shared" si="11"/>
        <v>52.150000000000006</v>
      </c>
      <c r="V70" s="614">
        <f t="shared" si="11"/>
        <v>52.150000000000006</v>
      </c>
      <c r="W70" s="614">
        <f t="shared" si="11"/>
        <v>52.150000000000006</v>
      </c>
      <c r="X70" s="614">
        <f t="shared" si="11"/>
        <v>52.150000000000006</v>
      </c>
      <c r="Y70" s="613">
        <v>3</v>
      </c>
      <c r="Z70" s="614">
        <v>0</v>
      </c>
      <c r="AA70" s="614">
        <v>0</v>
      </c>
      <c r="AB70" s="614">
        <v>0</v>
      </c>
      <c r="AC70" s="614">
        <v>0</v>
      </c>
      <c r="AD70" s="614">
        <v>0</v>
      </c>
      <c r="AE70" s="614">
        <v>0</v>
      </c>
      <c r="AF70" s="613">
        <v>3</v>
      </c>
      <c r="AG70" s="611">
        <v>0.8</v>
      </c>
      <c r="AH70" s="613">
        <v>20</v>
      </c>
      <c r="AI70" s="613"/>
      <c r="AJ70" s="613"/>
      <c r="AK70" s="615">
        <v>2.5000000000000001E-2</v>
      </c>
      <c r="AL70" s="616">
        <v>31.536000000000001</v>
      </c>
      <c r="AM70" s="608"/>
      <c r="AN70" s="608"/>
      <c r="AO70" s="608"/>
    </row>
    <row r="71" spans="2:41" ht="18" customHeight="1">
      <c r="B71" s="610" t="s">
        <v>405</v>
      </c>
      <c r="C71" s="610" t="str">
        <f>+D7</f>
        <v>WODWST</v>
      </c>
      <c r="D71" s="610" t="s">
        <v>576</v>
      </c>
      <c r="E71" s="618">
        <v>0.70000000000000007</v>
      </c>
      <c r="F71" s="619">
        <v>0.70000000000000007</v>
      </c>
      <c r="G71" s="619">
        <v>0.70000000000000007</v>
      </c>
      <c r="H71" s="619">
        <v>0.70000000000000007</v>
      </c>
      <c r="I71" s="619">
        <v>0.70000000000000007</v>
      </c>
      <c r="J71" s="619">
        <v>0.70000000000000007</v>
      </c>
      <c r="K71" s="612">
        <v>3</v>
      </c>
      <c r="L71" s="613">
        <v>3278</v>
      </c>
      <c r="M71" s="613">
        <v>3278</v>
      </c>
      <c r="N71" s="613">
        <v>3278</v>
      </c>
      <c r="O71" s="613">
        <v>3278</v>
      </c>
      <c r="P71" s="613">
        <v>3278</v>
      </c>
      <c r="Q71" s="613">
        <v>3278</v>
      </c>
      <c r="R71" s="613">
        <v>3</v>
      </c>
      <c r="S71" s="614">
        <f t="shared" ref="S71:S73" si="12">+L71*5%</f>
        <v>163.9</v>
      </c>
      <c r="T71" s="614">
        <f t="shared" si="11"/>
        <v>163.9</v>
      </c>
      <c r="U71" s="614">
        <f t="shared" si="11"/>
        <v>163.9</v>
      </c>
      <c r="V71" s="614">
        <f t="shared" si="11"/>
        <v>163.9</v>
      </c>
      <c r="W71" s="614">
        <f t="shared" si="11"/>
        <v>163.9</v>
      </c>
      <c r="X71" s="614">
        <f t="shared" si="11"/>
        <v>163.9</v>
      </c>
      <c r="Y71" s="613">
        <v>3</v>
      </c>
      <c r="Z71" s="614">
        <v>0.49170000000000003</v>
      </c>
      <c r="AA71" s="614">
        <v>0.49170000000000003</v>
      </c>
      <c r="AB71" s="614">
        <v>0.49170000000000003</v>
      </c>
      <c r="AC71" s="614">
        <v>0.49170000000000003</v>
      </c>
      <c r="AD71" s="614">
        <v>0.49170000000000003</v>
      </c>
      <c r="AE71" s="614">
        <v>0.49170000000000003</v>
      </c>
      <c r="AF71" s="613">
        <v>3</v>
      </c>
      <c r="AG71" s="611">
        <v>0.85</v>
      </c>
      <c r="AH71" s="613">
        <v>20</v>
      </c>
      <c r="AI71" s="613"/>
      <c r="AJ71" s="617">
        <v>-69.69</v>
      </c>
      <c r="AK71" s="615">
        <v>2.5000000000000001E-2</v>
      </c>
      <c r="AL71" s="616">
        <v>31.536000000000001</v>
      </c>
      <c r="AM71" s="608"/>
      <c r="AN71" s="608"/>
      <c r="AO71" s="608"/>
    </row>
    <row r="72" spans="2:41" ht="18" customHeight="1">
      <c r="B72" s="610" t="s">
        <v>406</v>
      </c>
      <c r="C72" s="610" t="str">
        <f>+D7</f>
        <v>WODWST</v>
      </c>
      <c r="D72" s="610" t="s">
        <v>180</v>
      </c>
      <c r="E72" s="618">
        <v>0.59000000000000008</v>
      </c>
      <c r="F72" s="619">
        <v>0.59000000000000008</v>
      </c>
      <c r="G72" s="619">
        <v>0.59000000000000008</v>
      </c>
      <c r="H72" s="619">
        <v>0.59000000000000008</v>
      </c>
      <c r="I72" s="619">
        <v>0.59000000000000008</v>
      </c>
      <c r="J72" s="619">
        <v>0.59000000000000008</v>
      </c>
      <c r="K72" s="612">
        <v>3</v>
      </c>
      <c r="L72" s="613">
        <v>2980.3683146067415</v>
      </c>
      <c r="M72" s="613">
        <v>2980.3683146067415</v>
      </c>
      <c r="N72" s="613">
        <v>2980.3683146067415</v>
      </c>
      <c r="O72" s="613">
        <v>2980.3683146067415</v>
      </c>
      <c r="P72" s="613">
        <v>2980.3683146067415</v>
      </c>
      <c r="Q72" s="613">
        <v>2980.3683146067415</v>
      </c>
      <c r="R72" s="613">
        <v>3</v>
      </c>
      <c r="S72" s="614">
        <f t="shared" si="12"/>
        <v>149.01841573033707</v>
      </c>
      <c r="T72" s="614">
        <f t="shared" si="11"/>
        <v>149.01841573033707</v>
      </c>
      <c r="U72" s="614">
        <f t="shared" si="11"/>
        <v>149.01841573033707</v>
      </c>
      <c r="V72" s="614">
        <f t="shared" si="11"/>
        <v>149.01841573033707</v>
      </c>
      <c r="W72" s="614">
        <f t="shared" si="11"/>
        <v>149.01841573033707</v>
      </c>
      <c r="X72" s="614">
        <f t="shared" si="11"/>
        <v>149.01841573033707</v>
      </c>
      <c r="Y72" s="613"/>
      <c r="Z72" s="614">
        <v>0</v>
      </c>
      <c r="AA72" s="614">
        <v>0</v>
      </c>
      <c r="AB72" s="614">
        <v>0</v>
      </c>
      <c r="AC72" s="614">
        <v>0</v>
      </c>
      <c r="AD72" s="614">
        <v>0</v>
      </c>
      <c r="AE72" s="614">
        <v>0</v>
      </c>
      <c r="AF72" s="613"/>
      <c r="AG72" s="611">
        <v>0.85</v>
      </c>
      <c r="AH72" s="613">
        <v>25</v>
      </c>
      <c r="AI72" s="613"/>
      <c r="AJ72" s="613"/>
      <c r="AK72" s="615">
        <v>2.5000000000000001E-2</v>
      </c>
      <c r="AL72" s="616">
        <v>31.536000000000001</v>
      </c>
      <c r="AM72" s="608"/>
      <c r="AN72" s="608"/>
      <c r="AO72" s="608"/>
    </row>
    <row r="73" spans="2:41" ht="18" customHeight="1">
      <c r="B73" s="610" t="s">
        <v>405</v>
      </c>
      <c r="C73" s="610" t="str">
        <f>+D11</f>
        <v>OILWST</v>
      </c>
      <c r="D73" s="610" t="s">
        <v>576</v>
      </c>
      <c r="E73" s="618">
        <f>+E70</f>
        <v>0.84000000000000008</v>
      </c>
      <c r="F73" s="618">
        <f t="shared" ref="F73:J73" si="13">+F70</f>
        <v>0.84000000000000008</v>
      </c>
      <c r="G73" s="618">
        <f t="shared" si="13"/>
        <v>0.84000000000000008</v>
      </c>
      <c r="H73" s="618">
        <f t="shared" si="13"/>
        <v>0.84000000000000008</v>
      </c>
      <c r="I73" s="618">
        <f t="shared" si="13"/>
        <v>0.84000000000000008</v>
      </c>
      <c r="J73" s="618">
        <f t="shared" si="13"/>
        <v>0.84000000000000008</v>
      </c>
      <c r="K73" s="612">
        <v>3</v>
      </c>
      <c r="L73" s="613">
        <v>3278</v>
      </c>
      <c r="M73" s="613">
        <v>3278</v>
      </c>
      <c r="N73" s="613">
        <v>3278</v>
      </c>
      <c r="O73" s="613">
        <v>3278</v>
      </c>
      <c r="P73" s="613">
        <v>3278</v>
      </c>
      <c r="Q73" s="613">
        <v>3278</v>
      </c>
      <c r="R73" s="613">
        <v>3</v>
      </c>
      <c r="S73" s="614">
        <f t="shared" si="12"/>
        <v>163.9</v>
      </c>
      <c r="T73" s="614">
        <f t="shared" si="11"/>
        <v>163.9</v>
      </c>
      <c r="U73" s="614">
        <f t="shared" si="11"/>
        <v>163.9</v>
      </c>
      <c r="V73" s="614">
        <f t="shared" si="11"/>
        <v>163.9</v>
      </c>
      <c r="W73" s="614">
        <f t="shared" si="11"/>
        <v>163.9</v>
      </c>
      <c r="X73" s="614">
        <f t="shared" si="11"/>
        <v>163.9</v>
      </c>
      <c r="Y73" s="613">
        <v>3</v>
      </c>
      <c r="Z73" s="614">
        <v>0.49170000000000003</v>
      </c>
      <c r="AA73" s="614">
        <v>0.49170000000000003</v>
      </c>
      <c r="AB73" s="614">
        <v>0.49170000000000003</v>
      </c>
      <c r="AC73" s="614">
        <v>0.49170000000000003</v>
      </c>
      <c r="AD73" s="614">
        <v>0.49170000000000003</v>
      </c>
      <c r="AE73" s="614">
        <v>0.49170000000000003</v>
      </c>
      <c r="AF73" s="613">
        <v>3</v>
      </c>
      <c r="AG73" s="611">
        <v>0.85</v>
      </c>
      <c r="AH73" s="613">
        <v>20</v>
      </c>
      <c r="AI73" s="613"/>
      <c r="AJ73" s="613">
        <f>+AJ71</f>
        <v>-69.69</v>
      </c>
      <c r="AK73" s="615">
        <v>2.5000000000000001E-2</v>
      </c>
      <c r="AL73" s="616">
        <v>31.536000000000001</v>
      </c>
      <c r="AM73" s="620">
        <v>0</v>
      </c>
      <c r="AN73" s="620">
        <v>0</v>
      </c>
      <c r="AO73" s="620">
        <v>1</v>
      </c>
    </row>
    <row r="74" spans="2:41" ht="18" customHeight="1">
      <c r="B74" s="621" t="str">
        <f>+D43</f>
        <v>WSTWOD2WOD</v>
      </c>
      <c r="C74" s="608" t="str">
        <f>+C70</f>
        <v>WODWST</v>
      </c>
      <c r="D74" s="608" t="str">
        <f>+D14</f>
        <v>WOD</v>
      </c>
      <c r="E74" s="608">
        <v>1</v>
      </c>
    </row>
    <row r="76" spans="2:41" ht="18" customHeight="1">
      <c r="D76" s="533" t="s">
        <v>13</v>
      </c>
    </row>
    <row r="77" spans="2:41" ht="18" customHeight="1">
      <c r="B77" s="534" t="s">
        <v>1</v>
      </c>
      <c r="C77" s="521" t="s">
        <v>5</v>
      </c>
      <c r="D77" s="521" t="s">
        <v>6</v>
      </c>
      <c r="E77" s="521" t="s">
        <v>807</v>
      </c>
      <c r="F77" s="521" t="s">
        <v>74</v>
      </c>
      <c r="G77" s="521" t="s">
        <v>718</v>
      </c>
      <c r="H77" s="521" t="s">
        <v>364</v>
      </c>
      <c r="I77" s="521" t="s">
        <v>365</v>
      </c>
      <c r="J77" s="521" t="s">
        <v>366</v>
      </c>
      <c r="K77" s="521" t="s">
        <v>414</v>
      </c>
      <c r="L77" s="521" t="s">
        <v>367</v>
      </c>
      <c r="M77" s="521" t="s">
        <v>368</v>
      </c>
      <c r="N77" s="521" t="s">
        <v>697</v>
      </c>
      <c r="O77" s="521" t="s">
        <v>369</v>
      </c>
      <c r="P77" s="521" t="s">
        <v>370</v>
      </c>
      <c r="Q77" s="521" t="s">
        <v>371</v>
      </c>
      <c r="R77" s="521" t="s">
        <v>415</v>
      </c>
      <c r="S77" s="521" t="s">
        <v>372</v>
      </c>
      <c r="T77" s="521" t="s">
        <v>373</v>
      </c>
      <c r="U77" s="521" t="s">
        <v>698</v>
      </c>
      <c r="V77" s="521" t="s">
        <v>374</v>
      </c>
      <c r="W77" s="521" t="s">
        <v>375</v>
      </c>
      <c r="X77" s="521" t="s">
        <v>376</v>
      </c>
      <c r="Y77" s="521" t="s">
        <v>416</v>
      </c>
      <c r="Z77" s="521" t="s">
        <v>377</v>
      </c>
      <c r="AA77" s="521" t="s">
        <v>378</v>
      </c>
      <c r="AB77" s="521" t="s">
        <v>699</v>
      </c>
      <c r="AC77" s="521" t="s">
        <v>379</v>
      </c>
      <c r="AD77" s="521" t="s">
        <v>380</v>
      </c>
      <c r="AE77" s="521" t="s">
        <v>381</v>
      </c>
      <c r="AF77" s="521" t="s">
        <v>417</v>
      </c>
      <c r="AG77" s="521" t="s">
        <v>382</v>
      </c>
      <c r="AH77" s="521" t="s">
        <v>383</v>
      </c>
      <c r="AI77" s="521" t="s">
        <v>384</v>
      </c>
      <c r="AJ77" s="534" t="s">
        <v>669</v>
      </c>
      <c r="AK77" s="534" t="s">
        <v>582</v>
      </c>
      <c r="AL77" s="538" t="s">
        <v>388</v>
      </c>
      <c r="AM77" s="539" t="s">
        <v>389</v>
      </c>
    </row>
    <row r="78" spans="2:41" ht="18" customHeight="1" thickBot="1">
      <c r="B78" s="540" t="s">
        <v>39</v>
      </c>
      <c r="C78" s="541" t="s">
        <v>32</v>
      </c>
      <c r="D78" s="541" t="s">
        <v>33</v>
      </c>
      <c r="E78" s="541"/>
      <c r="F78" s="541" t="s">
        <v>76</v>
      </c>
      <c r="G78" s="541" t="s">
        <v>76</v>
      </c>
      <c r="H78" s="541" t="s">
        <v>76</v>
      </c>
      <c r="I78" s="541" t="s">
        <v>76</v>
      </c>
      <c r="J78" s="541" t="s">
        <v>76</v>
      </c>
      <c r="K78" s="541" t="s">
        <v>76</v>
      </c>
      <c r="L78" s="541" t="s">
        <v>390</v>
      </c>
      <c r="M78" s="541" t="s">
        <v>658</v>
      </c>
      <c r="N78" s="541" t="s">
        <v>658</v>
      </c>
      <c r="O78" s="541" t="s">
        <v>658</v>
      </c>
      <c r="P78" s="541" t="s">
        <v>658</v>
      </c>
      <c r="Q78" s="541" t="s">
        <v>658</v>
      </c>
      <c r="R78" s="541" t="s">
        <v>658</v>
      </c>
      <c r="S78" s="541" t="s">
        <v>391</v>
      </c>
      <c r="T78" s="541" t="s">
        <v>659</v>
      </c>
      <c r="U78" s="541" t="s">
        <v>659</v>
      </c>
      <c r="V78" s="541" t="s">
        <v>659</v>
      </c>
      <c r="W78" s="541" t="s">
        <v>659</v>
      </c>
      <c r="X78" s="541" t="s">
        <v>659</v>
      </c>
      <c r="Y78" s="541" t="s">
        <v>659</v>
      </c>
      <c r="Z78" s="541" t="s">
        <v>392</v>
      </c>
      <c r="AA78" s="541" t="s">
        <v>660</v>
      </c>
      <c r="AB78" s="541" t="s">
        <v>660</v>
      </c>
      <c r="AC78" s="541" t="s">
        <v>660</v>
      </c>
      <c r="AD78" s="541" t="s">
        <v>660</v>
      </c>
      <c r="AE78" s="541" t="s">
        <v>660</v>
      </c>
      <c r="AF78" s="541" t="s">
        <v>660</v>
      </c>
      <c r="AG78" s="541" t="s">
        <v>393</v>
      </c>
      <c r="AH78" s="541" t="s">
        <v>394</v>
      </c>
      <c r="AI78" s="541" t="s">
        <v>395</v>
      </c>
      <c r="AJ78" s="541" t="s">
        <v>396</v>
      </c>
      <c r="AK78" s="541" t="s">
        <v>396</v>
      </c>
      <c r="AL78" s="542" t="s">
        <v>399</v>
      </c>
      <c r="AM78" s="543" t="s">
        <v>400</v>
      </c>
    </row>
    <row r="79" spans="2:41" ht="18" customHeight="1">
      <c r="B79" s="535" t="s">
        <v>808</v>
      </c>
      <c r="C79" s="523" t="s">
        <v>571</v>
      </c>
      <c r="D79" s="523" t="s">
        <v>181</v>
      </c>
      <c r="E79" s="523"/>
      <c r="F79" s="592">
        <v>0.375</v>
      </c>
      <c r="G79" s="592">
        <v>0.375</v>
      </c>
      <c r="H79" s="592">
        <v>0.375</v>
      </c>
      <c r="I79" s="592">
        <v>0.375</v>
      </c>
      <c r="J79" s="592">
        <v>0.375</v>
      </c>
      <c r="K79" s="592">
        <v>0.375</v>
      </c>
      <c r="L79" s="593">
        <v>3</v>
      </c>
      <c r="M79" s="524">
        <v>1490</v>
      </c>
      <c r="N79" s="524">
        <v>1490</v>
      </c>
      <c r="O79" s="524">
        <v>1490</v>
      </c>
      <c r="P79" s="524">
        <v>1490</v>
      </c>
      <c r="Q79" s="524">
        <v>1490</v>
      </c>
      <c r="R79" s="524">
        <v>1490</v>
      </c>
      <c r="S79" s="524"/>
      <c r="T79" s="525">
        <v>74.5</v>
      </c>
      <c r="U79" s="525">
        <v>74.5</v>
      </c>
      <c r="V79" s="525">
        <v>74.5</v>
      </c>
      <c r="W79" s="525">
        <v>74.5</v>
      </c>
      <c r="X79" s="525">
        <v>74.5</v>
      </c>
      <c r="Y79" s="525">
        <v>74.5</v>
      </c>
      <c r="Z79" s="524"/>
      <c r="AA79" s="525">
        <v>1.6389999999999998</v>
      </c>
      <c r="AB79" s="525">
        <v>1.6389999999999998</v>
      </c>
      <c r="AC79" s="525">
        <v>1.6389999999999998</v>
      </c>
      <c r="AD79" s="525">
        <v>1.6389999999999998</v>
      </c>
      <c r="AE79" s="525">
        <v>1.6389999999999998</v>
      </c>
      <c r="AF79" s="525">
        <v>1.6389999999999998</v>
      </c>
      <c r="AG79" s="524"/>
      <c r="AH79" s="592">
        <v>0.85616438356164382</v>
      </c>
      <c r="AI79" s="524">
        <v>20</v>
      </c>
      <c r="AJ79" s="524"/>
      <c r="AK79" s="524"/>
      <c r="AL79" s="594">
        <v>2.5000000000000001E-2</v>
      </c>
      <c r="AM79" s="526">
        <v>31.536000000000001</v>
      </c>
    </row>
    <row r="80" spans="2:41" ht="18" customHeight="1">
      <c r="B80" s="535" t="s">
        <v>809</v>
      </c>
      <c r="C80" s="523" t="s">
        <v>561</v>
      </c>
      <c r="D80" s="523" t="s">
        <v>181</v>
      </c>
      <c r="E80" s="523"/>
      <c r="F80" s="592">
        <v>0.60000000000000009</v>
      </c>
      <c r="G80" s="592">
        <v>0.60000000000000009</v>
      </c>
      <c r="H80" s="592">
        <v>0.63000000000000012</v>
      </c>
      <c r="I80" s="592">
        <v>0.66000000000000014</v>
      </c>
      <c r="J80" s="592">
        <v>0.69000000000000006</v>
      </c>
      <c r="K80" s="592">
        <v>0.69000000000000006</v>
      </c>
      <c r="L80" s="593">
        <v>3</v>
      </c>
      <c r="M80" s="524">
        <v>1788</v>
      </c>
      <c r="N80" s="524">
        <v>1788</v>
      </c>
      <c r="O80" s="524">
        <v>1788</v>
      </c>
      <c r="P80" s="524">
        <v>1788</v>
      </c>
      <c r="Q80" s="524">
        <v>1788</v>
      </c>
      <c r="R80" s="524">
        <v>1788</v>
      </c>
      <c r="S80" s="524"/>
      <c r="T80" s="525">
        <v>89.4</v>
      </c>
      <c r="U80" s="525">
        <v>89.4</v>
      </c>
      <c r="V80" s="525">
        <v>89.4</v>
      </c>
      <c r="W80" s="525">
        <v>89.4</v>
      </c>
      <c r="X80" s="525">
        <v>89.4</v>
      </c>
      <c r="Y80" s="525">
        <v>89.4</v>
      </c>
      <c r="Z80" s="524"/>
      <c r="AA80" s="525">
        <v>2.6819999999999999</v>
      </c>
      <c r="AB80" s="525">
        <v>2.6819999999999999</v>
      </c>
      <c r="AC80" s="525">
        <v>2.6819999999999999</v>
      </c>
      <c r="AD80" s="525">
        <v>2.6819999999999999</v>
      </c>
      <c r="AE80" s="525">
        <v>2.6819999999999999</v>
      </c>
      <c r="AF80" s="525">
        <v>2.6819999999999999</v>
      </c>
      <c r="AG80" s="524"/>
      <c r="AH80" s="592">
        <v>0.91324200913242004</v>
      </c>
      <c r="AI80" s="524">
        <v>20</v>
      </c>
      <c r="AJ80" s="524"/>
      <c r="AK80" s="524"/>
      <c r="AL80" s="594">
        <v>2.5000000000000001E-2</v>
      </c>
      <c r="AM80" s="526">
        <v>31.536000000000001</v>
      </c>
    </row>
    <row r="81" spans="2:39" ht="18" customHeight="1">
      <c r="B81" s="535" t="s">
        <v>810</v>
      </c>
      <c r="C81" s="523" t="s">
        <v>563</v>
      </c>
      <c r="D81" s="523" t="s">
        <v>181</v>
      </c>
      <c r="E81" s="523"/>
      <c r="F81" s="592">
        <v>0.66666666666666663</v>
      </c>
      <c r="G81" s="592">
        <v>0.66666666666666663</v>
      </c>
      <c r="H81" s="592">
        <v>0.66666666666666663</v>
      </c>
      <c r="I81" s="592">
        <v>0.66666666666666663</v>
      </c>
      <c r="J81" s="592">
        <v>0.66666666666666663</v>
      </c>
      <c r="K81" s="592">
        <v>0.66666666666666663</v>
      </c>
      <c r="L81" s="593">
        <v>3</v>
      </c>
      <c r="M81" s="524">
        <v>1475.1</v>
      </c>
      <c r="N81" s="524">
        <v>1445.2999999999997</v>
      </c>
      <c r="O81" s="524">
        <v>1415.5</v>
      </c>
      <c r="P81" s="524">
        <v>1415.5</v>
      </c>
      <c r="Q81" s="524">
        <v>1415.5</v>
      </c>
      <c r="R81" s="524">
        <v>1415.5</v>
      </c>
      <c r="S81" s="524"/>
      <c r="T81" s="525">
        <v>73.754999999999995</v>
      </c>
      <c r="U81" s="525">
        <v>72.264999999999986</v>
      </c>
      <c r="V81" s="525">
        <v>70.775000000000006</v>
      </c>
      <c r="W81" s="525">
        <v>70.775000000000006</v>
      </c>
      <c r="X81" s="525">
        <v>70.775000000000006</v>
      </c>
      <c r="Y81" s="525">
        <v>70.775000000000006</v>
      </c>
      <c r="Z81" s="524"/>
      <c r="AA81" s="525">
        <v>1.6389999999999998</v>
      </c>
      <c r="AB81" s="525">
        <v>1.6389999999999998</v>
      </c>
      <c r="AC81" s="525">
        <v>1.6389999999999998</v>
      </c>
      <c r="AD81" s="525">
        <v>1.6389999999999998</v>
      </c>
      <c r="AE81" s="525">
        <v>1.6389999999999998</v>
      </c>
      <c r="AF81" s="525">
        <v>1.6389999999999998</v>
      </c>
      <c r="AG81" s="524"/>
      <c r="AH81" s="592">
        <v>0.85616438356164382</v>
      </c>
      <c r="AI81" s="524">
        <v>20</v>
      </c>
      <c r="AJ81" s="524"/>
      <c r="AK81" s="524"/>
      <c r="AL81" s="594">
        <v>2.5000000000000001E-2</v>
      </c>
      <c r="AM81" s="526">
        <v>31.536000000000001</v>
      </c>
    </row>
    <row r="82" spans="2:39" ht="18" customHeight="1">
      <c r="B82" s="523" t="s">
        <v>573</v>
      </c>
      <c r="C82" s="523" t="s">
        <v>181</v>
      </c>
      <c r="D82" s="523" t="s">
        <v>178</v>
      </c>
      <c r="E82" s="523"/>
      <c r="F82" s="592">
        <v>0.9126505487192591</v>
      </c>
      <c r="G82" s="592">
        <v>0.9126505487192591</v>
      </c>
      <c r="H82" s="592">
        <v>0.92510036581283939</v>
      </c>
      <c r="I82" s="592">
        <v>0.93755018290641967</v>
      </c>
      <c r="J82" s="592">
        <v>0.95</v>
      </c>
      <c r="K82" s="592">
        <v>0.95</v>
      </c>
      <c r="L82" s="593">
        <v>3</v>
      </c>
      <c r="M82" s="524">
        <v>2086</v>
      </c>
      <c r="N82" s="524">
        <v>1937</v>
      </c>
      <c r="O82" s="524">
        <v>1788</v>
      </c>
      <c r="P82" s="524">
        <v>1639</v>
      </c>
      <c r="Q82" s="524">
        <v>1490</v>
      </c>
      <c r="R82" s="524">
        <v>1490</v>
      </c>
      <c r="S82" s="524"/>
      <c r="T82" s="525">
        <v>104.30000000000001</v>
      </c>
      <c r="U82" s="525">
        <v>96.850000000000009</v>
      </c>
      <c r="V82" s="525">
        <v>89.4</v>
      </c>
      <c r="W82" s="525">
        <v>81.95</v>
      </c>
      <c r="X82" s="525">
        <v>74.5</v>
      </c>
      <c r="Y82" s="525">
        <v>74.5</v>
      </c>
      <c r="Z82" s="524"/>
      <c r="AA82" s="525">
        <v>3.2779999999999996</v>
      </c>
      <c r="AB82" s="525">
        <v>3.2779999999999996</v>
      </c>
      <c r="AC82" s="525">
        <v>3.2779999999999996</v>
      </c>
      <c r="AD82" s="525">
        <v>3.2779999999999996</v>
      </c>
      <c r="AE82" s="525">
        <v>3.2779999999999996</v>
      </c>
      <c r="AF82" s="525">
        <v>3.2779999999999996</v>
      </c>
      <c r="AG82" s="524"/>
      <c r="AH82" s="592">
        <v>0.97031963470319638</v>
      </c>
      <c r="AI82" s="524">
        <v>20</v>
      </c>
      <c r="AJ82" s="527">
        <v>-53.96</v>
      </c>
      <c r="AK82" s="524"/>
      <c r="AL82" s="594">
        <v>2.5000000000000001E-2</v>
      </c>
      <c r="AM82" s="526">
        <v>31.536000000000001</v>
      </c>
    </row>
    <row r="83" spans="2:39" ht="18" customHeight="1">
      <c r="B83" s="528" t="s">
        <v>694</v>
      </c>
      <c r="C83" s="523"/>
      <c r="D83" s="523" t="s">
        <v>671</v>
      </c>
      <c r="E83" s="523"/>
      <c r="F83" s="592"/>
      <c r="G83" s="592"/>
      <c r="H83" s="592"/>
      <c r="I83" s="592"/>
      <c r="J83" s="592"/>
      <c r="K83" s="592"/>
      <c r="L83" s="593"/>
      <c r="M83" s="524"/>
      <c r="N83" s="524"/>
      <c r="O83" s="524"/>
      <c r="P83" s="524"/>
      <c r="Q83" s="524"/>
      <c r="R83" s="524"/>
      <c r="S83" s="524"/>
      <c r="T83" s="525"/>
      <c r="U83" s="525"/>
      <c r="V83" s="525"/>
      <c r="W83" s="525"/>
      <c r="X83" s="525"/>
      <c r="Y83" s="525"/>
      <c r="Z83" s="524"/>
      <c r="AA83" s="525"/>
      <c r="AB83" s="525"/>
      <c r="AC83" s="525"/>
      <c r="AD83" s="525"/>
      <c r="AE83" s="525"/>
      <c r="AF83" s="525"/>
      <c r="AG83" s="524"/>
      <c r="AH83" s="592"/>
      <c r="AI83" s="524"/>
      <c r="AJ83" s="527"/>
      <c r="AK83" s="524"/>
      <c r="AL83" s="594"/>
      <c r="AM83" s="526"/>
    </row>
    <row r="84" spans="2:39" ht="18" customHeight="1">
      <c r="B84" s="528" t="s">
        <v>694</v>
      </c>
      <c r="C84" s="523"/>
      <c r="D84" s="523" t="s">
        <v>672</v>
      </c>
      <c r="E84" s="523"/>
      <c r="F84" s="592"/>
      <c r="G84" s="592"/>
      <c r="H84" s="592"/>
      <c r="I84" s="592"/>
      <c r="J84" s="592"/>
      <c r="K84" s="592"/>
      <c r="L84" s="593"/>
      <c r="M84" s="524"/>
      <c r="N84" s="524"/>
      <c r="O84" s="524"/>
      <c r="P84" s="524"/>
      <c r="Q84" s="524"/>
      <c r="R84" s="524"/>
      <c r="S84" s="524"/>
      <c r="T84" s="525"/>
      <c r="U84" s="525"/>
      <c r="V84" s="525"/>
      <c r="W84" s="525"/>
      <c r="X84" s="525"/>
      <c r="Y84" s="525"/>
      <c r="Z84" s="524"/>
      <c r="AA84" s="525"/>
      <c r="AB84" s="525"/>
      <c r="AC84" s="525"/>
      <c r="AD84" s="525"/>
      <c r="AE84" s="525"/>
      <c r="AF84" s="525"/>
      <c r="AG84" s="524"/>
      <c r="AH84" s="592"/>
      <c r="AI84" s="524"/>
      <c r="AJ84" s="527"/>
      <c r="AK84" s="524"/>
      <c r="AL84" s="594"/>
      <c r="AM84" s="526"/>
    </row>
    <row r="85" spans="2:39" ht="18" customHeight="1">
      <c r="B85" s="528" t="s">
        <v>694</v>
      </c>
      <c r="C85" s="523"/>
      <c r="D85" s="523" t="s">
        <v>673</v>
      </c>
      <c r="E85" s="523"/>
      <c r="F85" s="592"/>
      <c r="G85" s="592"/>
      <c r="H85" s="592"/>
      <c r="I85" s="592"/>
      <c r="J85" s="592"/>
      <c r="K85" s="592"/>
      <c r="L85" s="593"/>
      <c r="M85" s="524"/>
      <c r="N85" s="524"/>
      <c r="O85" s="524"/>
      <c r="P85" s="524"/>
      <c r="Q85" s="524"/>
      <c r="R85" s="524"/>
      <c r="S85" s="524"/>
      <c r="T85" s="525"/>
      <c r="U85" s="525"/>
      <c r="V85" s="525"/>
      <c r="W85" s="525"/>
      <c r="X85" s="525"/>
      <c r="Y85" s="525"/>
      <c r="Z85" s="524"/>
      <c r="AA85" s="525"/>
      <c r="AB85" s="525"/>
      <c r="AC85" s="525"/>
      <c r="AD85" s="525"/>
      <c r="AE85" s="525"/>
      <c r="AF85" s="525"/>
      <c r="AG85" s="524"/>
      <c r="AH85" s="592"/>
      <c r="AI85" s="524"/>
      <c r="AJ85" s="527"/>
      <c r="AK85" s="524"/>
      <c r="AL85" s="594"/>
      <c r="AM85" s="526"/>
    </row>
    <row r="86" spans="2:39" ht="18" customHeight="1">
      <c r="B86" s="523" t="s">
        <v>811</v>
      </c>
      <c r="C86" s="523" t="s">
        <v>561</v>
      </c>
      <c r="D86" s="523" t="s">
        <v>576</v>
      </c>
      <c r="E86" s="523"/>
      <c r="F86" s="592">
        <v>0.70000000000000007</v>
      </c>
      <c r="G86" s="592">
        <v>0.70000000000000007</v>
      </c>
      <c r="H86" s="592">
        <v>0.70000000000000007</v>
      </c>
      <c r="I86" s="592">
        <v>0.70000000000000007</v>
      </c>
      <c r="J86" s="592">
        <v>0.70000000000000007</v>
      </c>
      <c r="K86" s="592">
        <v>0.70000000000000007</v>
      </c>
      <c r="L86" s="593">
        <v>3</v>
      </c>
      <c r="M86" s="524">
        <v>3278</v>
      </c>
      <c r="N86" s="524">
        <v>3278</v>
      </c>
      <c r="O86" s="524">
        <v>3278</v>
      </c>
      <c r="P86" s="524">
        <v>3278</v>
      </c>
      <c r="Q86" s="524">
        <v>3278</v>
      </c>
      <c r="R86" s="524">
        <v>3278</v>
      </c>
      <c r="S86" s="524"/>
      <c r="T86" s="525">
        <v>163.9</v>
      </c>
      <c r="U86" s="525">
        <v>163.9</v>
      </c>
      <c r="V86" s="525">
        <v>163.9</v>
      </c>
      <c r="W86" s="525">
        <v>163.9</v>
      </c>
      <c r="X86" s="525">
        <v>163.9</v>
      </c>
      <c r="Y86" s="525">
        <v>163.9</v>
      </c>
      <c r="Z86" s="524"/>
      <c r="AA86" s="525">
        <v>0.49170000000000003</v>
      </c>
      <c r="AB86" s="525">
        <v>0.49170000000000003</v>
      </c>
      <c r="AC86" s="525">
        <v>0.49170000000000003</v>
      </c>
      <c r="AD86" s="525">
        <v>0.49170000000000003</v>
      </c>
      <c r="AE86" s="525">
        <v>0.49170000000000003</v>
      </c>
      <c r="AF86" s="525">
        <v>0.49170000000000003</v>
      </c>
      <c r="AG86" s="524"/>
      <c r="AH86" s="592">
        <v>0.85</v>
      </c>
      <c r="AI86" s="524">
        <v>20</v>
      </c>
      <c r="AJ86" s="527"/>
      <c r="AK86" s="524">
        <v>-66.205500000000001</v>
      </c>
      <c r="AL86" s="594">
        <v>2.5000000000000001E-2</v>
      </c>
      <c r="AM86" s="526">
        <v>31.536000000000001</v>
      </c>
    </row>
    <row r="87" spans="2:39" ht="18" customHeight="1">
      <c r="B87" s="523" t="s">
        <v>401</v>
      </c>
      <c r="C87" s="523" t="s">
        <v>561</v>
      </c>
      <c r="D87" s="523" t="s">
        <v>402</v>
      </c>
      <c r="E87" s="523"/>
      <c r="F87" s="592">
        <v>0.89</v>
      </c>
      <c r="G87" s="592">
        <v>0.89</v>
      </c>
      <c r="H87" s="592">
        <v>0.89</v>
      </c>
      <c r="I87" s="592">
        <v>0.89</v>
      </c>
      <c r="J87" s="592">
        <v>0.89</v>
      </c>
      <c r="K87" s="592">
        <v>0.89</v>
      </c>
      <c r="L87" s="593">
        <v>3</v>
      </c>
      <c r="M87" s="524">
        <v>950</v>
      </c>
      <c r="N87" s="524">
        <v>950</v>
      </c>
      <c r="O87" s="524">
        <v>950</v>
      </c>
      <c r="P87" s="524">
        <v>950</v>
      </c>
      <c r="Q87" s="524">
        <v>950</v>
      </c>
      <c r="R87" s="524">
        <v>950</v>
      </c>
      <c r="S87" s="524"/>
      <c r="T87" s="525">
        <v>72</v>
      </c>
      <c r="U87" s="525">
        <v>72</v>
      </c>
      <c r="V87" s="525">
        <v>72</v>
      </c>
      <c r="W87" s="525">
        <v>72</v>
      </c>
      <c r="X87" s="525">
        <v>72</v>
      </c>
      <c r="Y87" s="525">
        <v>72</v>
      </c>
      <c r="Z87" s="524"/>
      <c r="AA87" s="525">
        <v>0.56000000000000005</v>
      </c>
      <c r="AB87" s="525">
        <v>0.56000000000000005</v>
      </c>
      <c r="AC87" s="525">
        <v>0.56000000000000005</v>
      </c>
      <c r="AD87" s="525">
        <v>0.56000000000000005</v>
      </c>
      <c r="AE87" s="525">
        <v>0.56000000000000005</v>
      </c>
      <c r="AF87" s="525">
        <v>0.56000000000000005</v>
      </c>
      <c r="AG87" s="524"/>
      <c r="AH87" s="592">
        <v>0.8</v>
      </c>
      <c r="AI87" s="524">
        <v>20</v>
      </c>
      <c r="AJ87" s="524"/>
      <c r="AK87" s="524"/>
      <c r="AL87" s="594">
        <v>2.5000000000000001E-2</v>
      </c>
      <c r="AM87" s="526">
        <v>31.536000000000001</v>
      </c>
    </row>
    <row r="88" spans="2:39" ht="18" customHeight="1">
      <c r="B88" s="523" t="s">
        <v>818</v>
      </c>
      <c r="C88" s="523" t="s">
        <v>561</v>
      </c>
      <c r="D88" s="523"/>
      <c r="E88" s="523"/>
      <c r="F88" s="595">
        <v>0.5</v>
      </c>
      <c r="G88" s="596">
        <v>0.5</v>
      </c>
      <c r="H88" s="596">
        <v>0.52</v>
      </c>
      <c r="I88" s="596">
        <v>0.54</v>
      </c>
      <c r="J88" s="596">
        <v>0.56000000000000005</v>
      </c>
      <c r="K88" s="596">
        <v>0.57999999999999996</v>
      </c>
      <c r="L88" s="593">
        <v>3</v>
      </c>
      <c r="M88" s="524">
        <v>5263</v>
      </c>
      <c r="N88" s="524">
        <v>5263</v>
      </c>
      <c r="O88" s="524">
        <v>5263</v>
      </c>
      <c r="P88" s="524">
        <v>5263</v>
      </c>
      <c r="Q88" s="524">
        <v>5263</v>
      </c>
      <c r="R88" s="524"/>
      <c r="S88" s="524"/>
      <c r="T88" s="525">
        <v>62</v>
      </c>
      <c r="U88" s="525"/>
      <c r="V88" s="525"/>
      <c r="W88" s="525"/>
      <c r="X88" s="525">
        <v>64</v>
      </c>
      <c r="Y88" s="525"/>
      <c r="Z88" s="524"/>
      <c r="AA88" s="525">
        <v>0.47</v>
      </c>
      <c r="AB88" s="525"/>
      <c r="AC88" s="525"/>
      <c r="AD88" s="525"/>
      <c r="AE88" s="525"/>
      <c r="AF88" s="525"/>
      <c r="AG88" s="524"/>
      <c r="AH88" s="592">
        <v>0.85</v>
      </c>
      <c r="AI88" s="524">
        <v>25</v>
      </c>
      <c r="AJ88" s="524"/>
      <c r="AK88" s="527">
        <v>-58.842099999999995</v>
      </c>
      <c r="AL88" s="594">
        <v>2.5000000000000001E-2</v>
      </c>
      <c r="AM88" s="526">
        <v>31.536000000000001</v>
      </c>
    </row>
    <row r="89" spans="2:39" ht="18" customHeight="1">
      <c r="B89" s="523"/>
      <c r="C89" s="523"/>
      <c r="D89" s="523" t="s">
        <v>815</v>
      </c>
      <c r="E89" s="597">
        <v>0.6</v>
      </c>
      <c r="F89" s="595"/>
      <c r="G89" s="596"/>
      <c r="H89" s="596"/>
      <c r="I89" s="596"/>
      <c r="J89" s="596"/>
      <c r="K89" s="596"/>
      <c r="L89" s="593"/>
      <c r="M89" s="524"/>
      <c r="N89" s="524"/>
      <c r="O89" s="524"/>
      <c r="P89" s="524"/>
      <c r="Q89" s="524"/>
      <c r="R89" s="524"/>
      <c r="S89" s="524"/>
      <c r="T89" s="525"/>
      <c r="U89" s="525"/>
      <c r="V89" s="525"/>
      <c r="W89" s="525"/>
      <c r="X89" s="525"/>
      <c r="Y89" s="525"/>
      <c r="Z89" s="524"/>
      <c r="AA89" s="525"/>
      <c r="AB89" s="525"/>
      <c r="AC89" s="525"/>
      <c r="AD89" s="525"/>
      <c r="AE89" s="525"/>
      <c r="AF89" s="525"/>
      <c r="AG89" s="524"/>
      <c r="AH89" s="592"/>
      <c r="AI89" s="524"/>
      <c r="AJ89" s="524"/>
      <c r="AK89" s="527"/>
      <c r="AL89" s="594"/>
      <c r="AM89" s="526"/>
    </row>
    <row r="90" spans="2:39" ht="18" customHeight="1">
      <c r="B90" s="523"/>
      <c r="C90" s="523"/>
      <c r="D90" s="523" t="s">
        <v>816</v>
      </c>
      <c r="E90" s="597">
        <v>0.4</v>
      </c>
      <c r="F90" s="595"/>
      <c r="G90" s="596"/>
      <c r="H90" s="596"/>
      <c r="I90" s="596"/>
      <c r="J90" s="596"/>
      <c r="K90" s="596"/>
      <c r="L90" s="593"/>
      <c r="M90" s="524"/>
      <c r="N90" s="524"/>
      <c r="O90" s="524"/>
      <c r="P90" s="524"/>
      <c r="Q90" s="524"/>
      <c r="R90" s="524"/>
      <c r="S90" s="524"/>
      <c r="T90" s="525"/>
      <c r="U90" s="525"/>
      <c r="V90" s="525"/>
      <c r="W90" s="525"/>
      <c r="X90" s="525"/>
      <c r="Y90" s="525"/>
      <c r="Z90" s="524"/>
      <c r="AA90" s="525"/>
      <c r="AB90" s="525"/>
      <c r="AC90" s="525"/>
      <c r="AD90" s="525"/>
      <c r="AE90" s="525"/>
      <c r="AF90" s="525"/>
      <c r="AG90" s="524"/>
      <c r="AH90" s="592"/>
      <c r="AI90" s="524"/>
      <c r="AJ90" s="524"/>
      <c r="AK90" s="524"/>
      <c r="AL90" s="594"/>
      <c r="AM90" s="526"/>
    </row>
    <row r="91" spans="2:39" ht="18" customHeight="1">
      <c r="B91" s="523" t="s">
        <v>406</v>
      </c>
      <c r="C91" s="523" t="s">
        <v>561</v>
      </c>
      <c r="D91" s="523" t="s">
        <v>180</v>
      </c>
      <c r="E91" s="523"/>
      <c r="F91" s="595">
        <v>0.59000000000000008</v>
      </c>
      <c r="G91" s="596">
        <v>0.59000000000000008</v>
      </c>
      <c r="H91" s="596">
        <v>0.59000000000000008</v>
      </c>
      <c r="I91" s="596">
        <v>0.59000000000000008</v>
      </c>
      <c r="J91" s="596">
        <v>0.59000000000000008</v>
      </c>
      <c r="K91" s="596">
        <v>0.59000000000000008</v>
      </c>
      <c r="L91" s="593">
        <v>3</v>
      </c>
      <c r="M91" s="524">
        <v>2980.3683146067415</v>
      </c>
      <c r="N91" s="524">
        <v>2980.3683146067415</v>
      </c>
      <c r="O91" s="524">
        <v>2980.3683146067415</v>
      </c>
      <c r="P91" s="524">
        <v>2980.3683146067415</v>
      </c>
      <c r="Q91" s="524">
        <v>2980.3683146067415</v>
      </c>
      <c r="R91" s="524">
        <v>2980.3683146067415</v>
      </c>
      <c r="S91" s="524"/>
      <c r="T91" s="525">
        <v>149.01841573033707</v>
      </c>
      <c r="U91" s="525">
        <v>149.01841573033707</v>
      </c>
      <c r="V91" s="525">
        <v>149.01841573033707</v>
      </c>
      <c r="W91" s="525">
        <v>149.01841573033707</v>
      </c>
      <c r="X91" s="525">
        <v>149.01841573033707</v>
      </c>
      <c r="Y91" s="525">
        <v>149.01841573033707</v>
      </c>
      <c r="Z91" s="524"/>
      <c r="AA91" s="525">
        <v>0</v>
      </c>
      <c r="AB91" s="525">
        <v>0</v>
      </c>
      <c r="AC91" s="525">
        <v>0</v>
      </c>
      <c r="AD91" s="525">
        <v>0</v>
      </c>
      <c r="AE91" s="525">
        <v>0</v>
      </c>
      <c r="AF91" s="525">
        <v>0</v>
      </c>
      <c r="AG91" s="524"/>
      <c r="AH91" s="592">
        <v>0.85</v>
      </c>
      <c r="AI91" s="524">
        <v>25</v>
      </c>
      <c r="AJ91" s="524"/>
      <c r="AK91" s="524"/>
      <c r="AL91" s="594">
        <v>2.5000000000000001E-2</v>
      </c>
      <c r="AM91" s="526">
        <v>31.536000000000001</v>
      </c>
    </row>
    <row r="92" spans="2:39" ht="18" customHeight="1">
      <c r="B92" s="523" t="s">
        <v>812</v>
      </c>
      <c r="C92" s="523" t="s">
        <v>566</v>
      </c>
      <c r="D92" s="523" t="s">
        <v>576</v>
      </c>
      <c r="E92" s="523"/>
      <c r="F92" s="595">
        <v>0.85</v>
      </c>
      <c r="G92" s="595">
        <v>0.85</v>
      </c>
      <c r="H92" s="595">
        <v>0.85</v>
      </c>
      <c r="I92" s="595">
        <v>0.85</v>
      </c>
      <c r="J92" s="595">
        <v>0.85</v>
      </c>
      <c r="K92" s="595">
        <v>0.85</v>
      </c>
      <c r="L92" s="593">
        <v>3</v>
      </c>
      <c r="M92" s="524">
        <v>1344</v>
      </c>
      <c r="N92" s="524">
        <v>1344</v>
      </c>
      <c r="O92" s="524">
        <v>1344</v>
      </c>
      <c r="P92" s="524">
        <v>1344</v>
      </c>
      <c r="Q92" s="524">
        <v>1344</v>
      </c>
      <c r="R92" s="524">
        <v>1344</v>
      </c>
      <c r="S92" s="524"/>
      <c r="T92" s="525">
        <v>62</v>
      </c>
      <c r="U92" s="525">
        <v>62</v>
      </c>
      <c r="V92" s="525">
        <v>62</v>
      </c>
      <c r="W92" s="525">
        <v>62</v>
      </c>
      <c r="X92" s="525">
        <v>62</v>
      </c>
      <c r="Y92" s="525">
        <v>62</v>
      </c>
      <c r="Z92" s="524"/>
      <c r="AA92" s="525">
        <v>1.08</v>
      </c>
      <c r="AB92" s="525">
        <v>1.08</v>
      </c>
      <c r="AC92" s="525">
        <v>1.08</v>
      </c>
      <c r="AD92" s="525">
        <v>1.08</v>
      </c>
      <c r="AE92" s="525">
        <v>1.08</v>
      </c>
      <c r="AF92" s="525">
        <v>1.08</v>
      </c>
      <c r="AG92" s="524"/>
      <c r="AH92" s="592">
        <v>0.85</v>
      </c>
      <c r="AI92" s="524">
        <v>20</v>
      </c>
      <c r="AJ92" s="524"/>
      <c r="AK92" s="524">
        <v>-66.215000000000003</v>
      </c>
      <c r="AL92" s="594">
        <v>2.5000000000000001E-2</v>
      </c>
      <c r="AM92" s="526">
        <v>31.536000000000001</v>
      </c>
    </row>
    <row r="93" spans="2:39" ht="18" customHeight="1">
      <c r="B93" s="523" t="s">
        <v>635</v>
      </c>
      <c r="C93" s="523" t="s">
        <v>561</v>
      </c>
      <c r="D93" s="523" t="s">
        <v>182</v>
      </c>
      <c r="E93" s="523"/>
      <c r="F93" s="595">
        <v>0.98</v>
      </c>
      <c r="G93" s="595">
        <v>0.98</v>
      </c>
      <c r="H93" s="595">
        <v>0.98</v>
      </c>
      <c r="I93" s="595">
        <v>0.98</v>
      </c>
      <c r="J93" s="595">
        <v>0.98</v>
      </c>
      <c r="K93" s="595">
        <v>0.98</v>
      </c>
      <c r="L93" s="593">
        <v>3</v>
      </c>
      <c r="M93" s="524">
        <v>464</v>
      </c>
      <c r="N93" s="524">
        <v>464</v>
      </c>
      <c r="O93" s="524">
        <v>464</v>
      </c>
      <c r="P93" s="524">
        <v>464</v>
      </c>
      <c r="Q93" s="524">
        <v>464</v>
      </c>
      <c r="R93" s="524">
        <v>464</v>
      </c>
      <c r="S93" s="524"/>
      <c r="T93" s="525">
        <v>7</v>
      </c>
      <c r="U93" s="525">
        <v>7</v>
      </c>
      <c r="V93" s="525">
        <v>7</v>
      </c>
      <c r="W93" s="525">
        <v>7</v>
      </c>
      <c r="X93" s="525">
        <v>7</v>
      </c>
      <c r="Y93" s="525">
        <v>7</v>
      </c>
      <c r="Z93" s="524"/>
      <c r="AA93" s="525">
        <v>0.09</v>
      </c>
      <c r="AB93" s="525">
        <v>0.09</v>
      </c>
      <c r="AC93" s="525">
        <v>0.09</v>
      </c>
      <c r="AD93" s="525">
        <v>0.09</v>
      </c>
      <c r="AE93" s="525">
        <v>0.09</v>
      </c>
      <c r="AF93" s="525">
        <v>0.09</v>
      </c>
      <c r="AG93" s="524"/>
      <c r="AH93" s="592"/>
      <c r="AI93" s="524">
        <v>20</v>
      </c>
      <c r="AJ93" s="524"/>
      <c r="AK93" s="524"/>
      <c r="AL93" s="594">
        <v>2.5000000000000001E-2</v>
      </c>
      <c r="AM93"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opLeftCell="A38" zoomScale="80" zoomScaleNormal="80" workbookViewId="0">
      <selection activeCell="E65" sqref="E65"/>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92</v>
      </c>
      <c r="N14" s="515" t="s">
        <v>87</v>
      </c>
      <c r="P14" s="557" t="s">
        <v>758</v>
      </c>
      <c r="Q14" t="s">
        <v>778</v>
      </c>
      <c r="R14" s="515" t="s">
        <v>69</v>
      </c>
      <c r="S14" s="515" t="s">
        <v>106</v>
      </c>
      <c r="T14" s="515" t="s">
        <v>92</v>
      </c>
    </row>
    <row r="15" spans="3:22">
      <c r="C15" s="358" t="s">
        <v>65</v>
      </c>
      <c r="D15" s="557"/>
      <c r="E15" s="358" t="s">
        <v>830</v>
      </c>
      <c r="F15" s="358" t="s">
        <v>831</v>
      </c>
      <c r="G15" s="358" t="s">
        <v>69</v>
      </c>
      <c r="H15" s="358" t="s">
        <v>584</v>
      </c>
      <c r="I15" s="515" t="s">
        <v>92</v>
      </c>
      <c r="J15" s="557"/>
      <c r="N15" s="515" t="s">
        <v>87</v>
      </c>
      <c r="P15" s="557" t="s">
        <v>761</v>
      </c>
      <c r="Q15" s="557" t="s">
        <v>779</v>
      </c>
      <c r="R15" s="515" t="s">
        <v>69</v>
      </c>
      <c r="S15" s="515" t="s">
        <v>106</v>
      </c>
      <c r="T15" s="515" t="s">
        <v>92</v>
      </c>
    </row>
    <row r="16" spans="3:22">
      <c r="C16" s="161" t="s">
        <v>146</v>
      </c>
      <c r="D16" s="161"/>
      <c r="E16" s="358" t="s">
        <v>731</v>
      </c>
      <c r="F16" s="358" t="s">
        <v>791</v>
      </c>
      <c r="G16" s="358" t="s">
        <v>86</v>
      </c>
      <c r="N16" s="515" t="s">
        <v>87</v>
      </c>
      <c r="P16" s="557" t="s">
        <v>762</v>
      </c>
      <c r="Q16" s="557" t="s">
        <v>780</v>
      </c>
      <c r="R16" s="515" t="s">
        <v>69</v>
      </c>
      <c r="S16" s="515" t="s">
        <v>106</v>
      </c>
      <c r="T16" s="515" t="s">
        <v>92</v>
      </c>
    </row>
    <row r="17" spans="5:20">
      <c r="N17" s="515" t="s">
        <v>87</v>
      </c>
      <c r="P17" s="557" t="s">
        <v>764</v>
      </c>
      <c r="Q17" s="557" t="s">
        <v>781</v>
      </c>
      <c r="R17" s="515" t="s">
        <v>69</v>
      </c>
      <c r="S17" s="515" t="s">
        <v>106</v>
      </c>
      <c r="T17" s="515" t="s">
        <v>92</v>
      </c>
    </row>
    <row r="18" spans="5:20" s="557" customFormat="1">
      <c r="E18"/>
      <c r="N18" s="515" t="s">
        <v>87</v>
      </c>
      <c r="P18" s="557" t="s">
        <v>765</v>
      </c>
      <c r="Q18" s="557" t="s">
        <v>782</v>
      </c>
      <c r="R18" s="515" t="s">
        <v>69</v>
      </c>
      <c r="S18" s="515" t="s">
        <v>106</v>
      </c>
      <c r="T18" s="515" t="s">
        <v>92</v>
      </c>
    </row>
    <row r="19" spans="5:20" s="557" customFormat="1">
      <c r="N19" s="515" t="s">
        <v>87</v>
      </c>
      <c r="P19" s="557" t="s">
        <v>767</v>
      </c>
      <c r="Q19" s="557" t="s">
        <v>783</v>
      </c>
      <c r="R19" s="515" t="s">
        <v>69</v>
      </c>
      <c r="S19" s="515" t="s">
        <v>106</v>
      </c>
      <c r="T19" s="515" t="s">
        <v>92</v>
      </c>
    </row>
    <row r="20" spans="5:20" s="557" customFormat="1">
      <c r="N20" s="515" t="s">
        <v>87</v>
      </c>
      <c r="P20" s="557" t="s">
        <v>769</v>
      </c>
      <c r="Q20" s="557" t="s">
        <v>784</v>
      </c>
      <c r="R20" s="515" t="s">
        <v>69</v>
      </c>
      <c r="S20" s="515" t="s">
        <v>106</v>
      </c>
      <c r="T20" s="515" t="s">
        <v>92</v>
      </c>
    </row>
    <row r="21" spans="5:20">
      <c r="N21" s="515" t="s">
        <v>87</v>
      </c>
      <c r="P21" s="557" t="s">
        <v>770</v>
      </c>
      <c r="Q21" s="557" t="s">
        <v>785</v>
      </c>
      <c r="R21" s="515" t="s">
        <v>69</v>
      </c>
      <c r="S21" s="515" t="s">
        <v>106</v>
      </c>
      <c r="T21" s="515" t="s">
        <v>92</v>
      </c>
    </row>
    <row r="22" spans="5:20">
      <c r="N22" s="515" t="s">
        <v>87</v>
      </c>
      <c r="P22" s="557" t="s">
        <v>772</v>
      </c>
      <c r="Q22" s="557" t="s">
        <v>786</v>
      </c>
      <c r="R22" s="515" t="s">
        <v>69</v>
      </c>
      <c r="S22" s="515" t="s">
        <v>106</v>
      </c>
      <c r="T22" s="515" t="s">
        <v>92</v>
      </c>
    </row>
    <row r="23" spans="5:20">
      <c r="N23" s="515" t="s">
        <v>87</v>
      </c>
      <c r="O23" s="557"/>
      <c r="P23" s="557" t="str">
        <f>+C85</f>
        <v>FTE_AGRH2R</v>
      </c>
      <c r="Q23" s="557" t="s">
        <v>833</v>
      </c>
      <c r="R23" s="515" t="s">
        <v>69</v>
      </c>
      <c r="S23" s="515" t="s">
        <v>106</v>
      </c>
      <c r="T23" s="515" t="s">
        <v>92</v>
      </c>
    </row>
    <row r="24" spans="5:20">
      <c r="N24" s="515" t="s">
        <v>87</v>
      </c>
      <c r="O24" s="557"/>
      <c r="P24" s="557" t="str">
        <f>+C86</f>
        <v>FTE_AGRH2D</v>
      </c>
      <c r="Q24" s="557" t="s">
        <v>832</v>
      </c>
      <c r="R24" s="515" t="s">
        <v>69</v>
      </c>
      <c r="S24" s="515" t="s">
        <v>106</v>
      </c>
      <c r="T24" s="515" t="s">
        <v>92</v>
      </c>
    </row>
    <row r="25" spans="5:20">
      <c r="N25" s="515" t="s">
        <v>87</v>
      </c>
      <c r="P25" s="557" t="s">
        <v>790</v>
      </c>
      <c r="Q25" t="s">
        <v>440</v>
      </c>
      <c r="R25" s="515" t="s">
        <v>69</v>
      </c>
      <c r="S25" s="515" t="s">
        <v>411</v>
      </c>
      <c r="T25" s="515" t="s">
        <v>92</v>
      </c>
    </row>
    <row r="26" spans="5:20">
      <c r="N26" s="515" t="s">
        <v>87</v>
      </c>
      <c r="P26" s="557" t="s">
        <v>787</v>
      </c>
      <c r="Q26" t="s">
        <v>750</v>
      </c>
      <c r="R26" s="515" t="s">
        <v>69</v>
      </c>
      <c r="S26" s="515" t="s">
        <v>411</v>
      </c>
      <c r="T26" s="515" t="s">
        <v>92</v>
      </c>
    </row>
    <row r="27" spans="5:20">
      <c r="N27" s="515" t="s">
        <v>87</v>
      </c>
      <c r="P27" s="557" t="s">
        <v>788</v>
      </c>
      <c r="Q27" t="s">
        <v>751</v>
      </c>
      <c r="R27" s="515" t="s">
        <v>69</v>
      </c>
      <c r="S27" s="515" t="s">
        <v>411</v>
      </c>
      <c r="T27" s="515" t="s">
        <v>92</v>
      </c>
    </row>
    <row r="28" spans="5:20" s="557" customFormat="1">
      <c r="N28" s="515" t="s">
        <v>87</v>
      </c>
      <c r="O28"/>
      <c r="P28" s="557" t="s">
        <v>789</v>
      </c>
      <c r="Q28" t="s">
        <v>752</v>
      </c>
      <c r="R28" s="515" t="s">
        <v>69</v>
      </c>
      <c r="S28" s="515" t="s">
        <v>411</v>
      </c>
      <c r="T28" s="515" t="s">
        <v>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443</v>
      </c>
      <c r="G43" s="406">
        <v>1</v>
      </c>
      <c r="H43" s="406">
        <v>1</v>
      </c>
      <c r="I43" s="406">
        <v>0.73800738007380073</v>
      </c>
      <c r="J43" s="406"/>
      <c r="K43" s="406"/>
      <c r="L43" s="406"/>
      <c r="M43" s="406"/>
      <c r="N43" s="406"/>
      <c r="O43" s="406"/>
      <c r="P43" s="406">
        <v>1346.9642857142858</v>
      </c>
      <c r="Q43" s="406">
        <v>1112.7096273291927</v>
      </c>
      <c r="R43" s="406">
        <v>919.19490953281127</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787</v>
      </c>
      <c r="D65" s="580" t="s">
        <v>750</v>
      </c>
      <c r="E65" s="580" t="s">
        <v>725</v>
      </c>
      <c r="F65" s="580" t="s">
        <v>443</v>
      </c>
      <c r="G65" s="580"/>
      <c r="H65" s="580"/>
      <c r="I65" s="580">
        <v>2758.0532991343721</v>
      </c>
      <c r="J65" s="580">
        <v>275.80532991343722</v>
      </c>
      <c r="K65" s="580"/>
      <c r="L65" s="580">
        <v>0.97</v>
      </c>
      <c r="M65" s="580">
        <v>1</v>
      </c>
      <c r="N65" s="580">
        <v>100</v>
      </c>
      <c r="O65" s="580"/>
      <c r="P65" s="580">
        <v>31.536000000000001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398.11057547096118</v>
      </c>
      <c r="J68" s="580">
        <f>+I68*0.1</f>
        <v>39.811057547096119</v>
      </c>
      <c r="K68" s="580"/>
      <c r="L68" s="580">
        <v>0.7</v>
      </c>
      <c r="M68" s="580">
        <v>0.8</v>
      </c>
      <c r="N68" s="580">
        <v>20</v>
      </c>
      <c r="O68" s="580"/>
      <c r="P68" s="580">
        <v>31.536000000000001</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Suleimenov Bakytzhan</cp:lastModifiedBy>
  <cp:lastPrinted>2004-11-16T14:57:57Z</cp:lastPrinted>
  <dcterms:created xsi:type="dcterms:W3CDTF">2000-12-13T15:53:11Z</dcterms:created>
  <dcterms:modified xsi:type="dcterms:W3CDTF">2021-03-01T15:36:30Z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447460353374481</vt:r8>
  </property>
</Properties>
</file>