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showObjects="placeholders" codeName="ThisWorkbook"/>
  <mc:AlternateContent xmlns:mc="http://schemas.openxmlformats.org/markup-compatibility/2006">
    <mc:Choice Requires="x15">
      <x15ac:absPath xmlns:x15ac="http://schemas.microsoft.com/office/spreadsheetml/2010/11/ac" url="C:\Users\rbsul\Documents\GitHub\TIMES-NZ-Model-Files\TIMES-NZ\"/>
    </mc:Choice>
  </mc:AlternateContent>
  <xr:revisionPtr revIDLastSave="0" documentId="13_ncr:1_{4FAF036B-4097-4F88-8B62-03BE7224E54E}" xr6:coauthVersionLast="47" xr6:coauthVersionMax="47" xr10:uidLastSave="{00000000-0000-0000-0000-000000000000}"/>
  <bookViews>
    <workbookView xWindow="-110" yWindow="-110" windowWidth="25820" windowHeight="15500" tabRatio="732" activeTab="3" xr2:uid="{00000000-000D-0000-FFFF-FFFF00000000}"/>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3" i="137" l="1"/>
  <c r="O42" i="147" l="1"/>
  <c r="O38" i="147"/>
  <c r="O39" i="147" s="1"/>
  <c r="N30" i="136" l="1"/>
  <c r="O30" i="136" s="1"/>
  <c r="P30" i="136" s="1"/>
  <c r="Q30" i="136" s="1"/>
  <c r="R30" i="136" s="1"/>
  <c r="S30" i="136" s="1"/>
  <c r="T30" i="136" s="1"/>
  <c r="K64" i="161" l="1"/>
  <c r="D24" i="160" l="1"/>
  <c r="G45" i="160"/>
  <c r="F45" i="160"/>
  <c r="F60" i="160" l="1"/>
  <c r="O38" i="160" l="1"/>
  <c r="O39" i="160"/>
  <c r="O40" i="160"/>
  <c r="O37" i="160"/>
  <c r="N61" i="160"/>
  <c r="O61" i="160"/>
  <c r="P61" i="160"/>
  <c r="Q61" i="160"/>
  <c r="M61" i="160"/>
  <c r="L31" i="160" l="1"/>
  <c r="L32" i="160" s="1"/>
  <c r="U51" i="137" l="1"/>
  <c r="U48" i="137" l="1"/>
  <c r="L27" i="136" l="1"/>
  <c r="AG43" i="161" l="1"/>
  <c r="P24" i="161" l="1"/>
  <c r="P23" i="161"/>
  <c r="U27" i="136" l="1"/>
  <c r="F42" i="160" l="1"/>
  <c r="F41" i="160"/>
  <c r="D31" i="160" l="1"/>
  <c r="D25" i="160"/>
  <c r="D26" i="160"/>
  <c r="D27" i="160"/>
  <c r="D28" i="160"/>
  <c r="D29" i="160"/>
  <c r="D30" i="160"/>
  <c r="D23" i="160"/>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W12" i="147"/>
  <c r="Z12" i="147"/>
  <c r="E11" i="147"/>
  <c r="G2" i="147"/>
  <c r="E2" i="147"/>
  <c r="Y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Z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A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B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C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A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B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C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<sst xmlns="http://schemas.openxmlformats.org/spreadsheetml/2006/main" count="2753" uniqueCount="872">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</sst>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43" formatCode="_-* #,##0.00_-;\-* #,##0.00_-;_-* &quot;-&quot;??_-;_-@_-"/>
    <numFmt numFmtId="164" formatCode="&quot;$&quot;#,##0.00;[Red]\-&quot;$&quot;#,##0.00"/>
    <numFmt numFmtId="165" formatCode="_-&quot;$&quot;* #,##0.00_-;\-&quot;$&quot;* #,##0.00_-;_-&quot;$&quot;* &quot;-&quot;??_-;_-@_-"/>
    <numFmt numFmtId="166" formatCode="&quot;$&quot;#,##0_);[Red]\(&quot;$&quot;#,##0\)"/>
    <numFmt numFmtId="167" formatCode="&quot;$&quot;#,##0.00_);[Red]\(&quot;$&quot;#,##0.00\)"/>
    <numFmt numFmtId="168" formatCode="_(&quot;$&quot;* #,##0.00_);_(&quot;$&quot;* \(#,##0.00\);_(&quot;$&quot;* &quot;-&quot;??_);_(@_)"/>
    <numFmt numFmtId="169" formatCode="_ * #,##0.00_ ;_ * \-#,##0.00_ ;_ * &quot;-&quot;??_ ;_ @_ "/>
    <numFmt numFmtId="170" formatCode="General_)"/>
    <numFmt numFmtId="171" formatCode="\Te\x\t"/>
    <numFmt numFmtId="172" formatCode="0.0%"/>
    <numFmt numFmtId="173" formatCode="0.00_ ;[Red]\-0.00\ "/>
    <numFmt numFmtId="174" formatCode="[$-C09]d\ mmmm\ yyyy;@"/>
    <numFmt numFmtId="175" formatCode="_-[$€-2]* #,##0.00_-;\-[$€-2]* #,##0.00_-;_-[$€-2]* &quot;-&quot;??_-"/>
    <numFmt numFmtId="176" formatCode="_*#,##0.00;[Red]_*\(#,##0.00\);_*\-"/>
    <numFmt numFmtId="177" formatCode="#,##0\ ;\(#,##0\)"/>
    <numFmt numFmtId="178" formatCode="#,##0.0\ ;\(#,##0.0\)"/>
    <numFmt numFmtId="179" formatCode="#,##0.00\ ;\(#,##0.00\)"/>
    <numFmt numFmtId="180" formatCode="d\ mmm"/>
    <numFmt numFmtId="181" formatCode="d\ mmm\ yyyy"/>
    <numFmt numFmtId="182" formatCode="_-\$* #,##0.00_-;&quot;-$&quot;* #,##0.00_-;_-\$* \-??_-;_-@_-"/>
    <numFmt numFmtId="183" formatCode="#,###,;[Red]\-#,###,;0"/>
    <numFmt numFmtId="184" formatCode="_-* #,##0_-;\-* #,##0_-;_-* &quot;-&quot;??_-;_-@_-"/>
    <numFmt numFmtId="185" formatCode="#,##0.00_ ;\-#,##0.00\ "/>
    <numFmt numFmtId="186" formatCode="_-* #,##0.0_-;\-* #,##0.0_-;_-* &quot;-&quot;?_-;_-@_-"/>
    <numFmt numFmtId="187" formatCode="_(* #,##0_);_(* \(#,##0\);_(* &quot;-&quot;??_);_(@_)"/>
    <numFmt numFmtId="188" formatCode="_-* #,##0_-;\-* #,##0_-;_-* &quot;-&quot;?_-;_-@_-"/>
    <numFmt numFmtId="189" formatCode="0.0"/>
    <numFmt numFmtId="190" formatCode="_(* #,##0.000_);_(* \(#,##0.000\);_(* &quot;-&quot;??_);_(@_)"/>
    <numFmt numFmtId="191" formatCode="0.000"/>
    <numFmt numFmtId="192" formatCode="_-* #,##0.00\ _D_M_-;\-* #,##0.00\ _D_M_-;_-* &quot;-&quot;??\ _D_M_-;_-@_-"/>
    <numFmt numFmtId="193" formatCode="0.0000"/>
    <numFmt numFmtId="194" formatCode="m\-d\-yy"/>
    <numFmt numFmtId="195" formatCode="###,##0"/>
    <numFmt numFmtId="196" formatCode="###,##0.0"/>
    <numFmt numFmtId="197" formatCode="###,##0.00"/>
    <numFmt numFmtId="198" formatCode="#\ ##0;\-#\ ##0"/>
    <numFmt numFmtId="199" formatCode="0.00;\-0.00"/>
    <numFmt numFmtId="200" formatCode="\ ####"/>
    <numFmt numFmtId="201" formatCode="###\ ###.00"/>
    <numFmt numFmtId="202" formatCode="_([$€]* #,##0.00_);_([$€]* \(#,##0.00\);_([$€]* &quot;-&quot;??_);_(@_)"/>
    <numFmt numFmtId="203" formatCode="_-* #,##0.0_-;\-* #,##0.0_-;_-* &quot;-&quot;_-;_-@_-"/>
    <numFmt numFmtId="204" formatCode="_-* #,##0\ _P_t_s_-;\-* #,##0\ _P_t_s_-;_-* &quot;-&quot;\ _P_t_s_-;_-@_-"/>
    <numFmt numFmtId="205" formatCode="###,###,###"/>
    <numFmt numFmtId="206" formatCode="#\ ##0.0;\-#\ ##0.0"/>
    <numFmt numFmtId="207" formatCode="0.00_)"/>
    <numFmt numFmtId="208" formatCode="##\ ###"/>
    <numFmt numFmtId="209"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4"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13" fillId="0" borderId="0" applyFont="0" applyFill="0" applyBorder="0" applyAlignment="0" applyProtection="0"/>
    <xf numFmtId="3" fontId="13" fillId="0" borderId="0" applyFont="0" applyFill="0" applyBorder="0" applyAlignment="0" applyProtection="0"/>
    <xf numFmtId="165" fontId="13" fillId="0" borderId="0" applyFont="0" applyFill="0" applyBorder="0" applyAlignment="0" applyProtection="0"/>
    <xf numFmtId="0" fontId="13" fillId="0" borderId="0" applyBorder="0"/>
    <xf numFmtId="172" fontId="46" fillId="0" borderId="0"/>
    <xf numFmtId="172" fontId="46" fillId="0" borderId="0"/>
    <xf numFmtId="172" fontId="46" fillId="0" borderId="0"/>
    <xf numFmtId="0" fontId="13" fillId="0" borderId="0"/>
    <xf numFmtId="172" fontId="46" fillId="0" borderId="0"/>
    <xf numFmtId="0" fontId="13" fillId="0" borderId="0"/>
    <xf numFmtId="0" fontId="13" fillId="0" borderId="0"/>
    <xf numFmtId="0" fontId="13" fillId="0" borderId="0"/>
    <xf numFmtId="174" fontId="46" fillId="0" borderId="0"/>
    <xf numFmtId="0" fontId="13" fillId="0" borderId="0"/>
    <xf numFmtId="0" fontId="13" fillId="0" borderId="0"/>
    <xf numFmtId="172" fontId="46" fillId="0" borderId="0"/>
    <xf numFmtId="0" fontId="63" fillId="0" borderId="0"/>
    <xf numFmtId="174" fontId="63" fillId="0" borderId="0"/>
    <xf numFmtId="172" fontId="46" fillId="0" borderId="0"/>
    <xf numFmtId="0" fontId="13" fillId="0" borderId="0" applyBorder="0"/>
    <xf numFmtId="174" fontId="13" fillId="0" borderId="0" applyBorder="0"/>
    <xf numFmtId="0" fontId="13" fillId="0" borderId="0"/>
    <xf numFmtId="174"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5"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5"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5"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5"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5"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5"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5"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5"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5"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5"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5"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5"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5"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5"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5" fontId="47" fillId="53" borderId="0" applyNumberFormat="0" applyBorder="0" applyAlignment="0" applyProtection="0"/>
    <xf numFmtId="0" fontId="47" fillId="51" borderId="0" applyNumberFormat="0" applyBorder="0" applyAlignment="0" applyProtection="0"/>
    <xf numFmtId="175" fontId="47" fillId="53" borderId="0" applyNumberFormat="0" applyBorder="0" applyAlignment="0" applyProtection="0"/>
    <xf numFmtId="0" fontId="47" fillId="51" borderId="0" applyNumberFormat="0" applyBorder="0" applyAlignment="0" applyProtection="0"/>
    <xf numFmtId="175"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5"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5"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5"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5"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5"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5" fontId="47" fillId="61" borderId="0" applyNumberFormat="0" applyBorder="0" applyAlignment="0" applyProtection="0"/>
    <xf numFmtId="0" fontId="47" fillId="49" borderId="0" applyNumberFormat="0" applyBorder="0" applyAlignment="0" applyProtection="0"/>
    <xf numFmtId="175" fontId="47" fillId="61" borderId="0" applyNumberFormat="0" applyBorder="0" applyAlignment="0" applyProtection="0"/>
    <xf numFmtId="0" fontId="47" fillId="49" borderId="0" applyNumberFormat="0" applyBorder="0" applyAlignment="0" applyProtection="0"/>
    <xf numFmtId="175"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5"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5"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5"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5" fontId="47" fillId="59" borderId="0" applyNumberFormat="0" applyBorder="0" applyAlignment="0" applyProtection="0"/>
    <xf numFmtId="0" fontId="47" fillId="52" borderId="0" applyNumberFormat="0" applyBorder="0" applyAlignment="0" applyProtection="0"/>
    <xf numFmtId="175" fontId="47" fillId="59" borderId="0" applyNumberFormat="0" applyBorder="0" applyAlignment="0" applyProtection="0"/>
    <xf numFmtId="0" fontId="47" fillId="52" borderId="0" applyNumberFormat="0" applyBorder="0" applyAlignment="0" applyProtection="0"/>
    <xf numFmtId="175"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5"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5"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5"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5" fontId="47" fillId="48" borderId="0" applyNumberFormat="0" applyBorder="0" applyAlignment="0" applyProtection="0"/>
    <xf numFmtId="0" fontId="47" fillId="54" borderId="0" applyNumberFormat="0" applyBorder="0" applyAlignment="0" applyProtection="0"/>
    <xf numFmtId="175" fontId="47" fillId="48" borderId="0" applyNumberFormat="0" applyBorder="0" applyAlignment="0" applyProtection="0"/>
    <xf numFmtId="0" fontId="47" fillId="54" borderId="0" applyNumberFormat="0" applyBorder="0" applyAlignment="0" applyProtection="0"/>
    <xf numFmtId="175"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5"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5"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5" fontId="47" fillId="53" borderId="0" applyNumberFormat="0" applyBorder="0" applyAlignment="0" applyProtection="0"/>
    <xf numFmtId="0" fontId="47" fillId="55" borderId="0" applyNumberFormat="0" applyBorder="0" applyAlignment="0" applyProtection="0"/>
    <xf numFmtId="175" fontId="47" fillId="53" borderId="0" applyNumberFormat="0" applyBorder="0" applyAlignment="0" applyProtection="0"/>
    <xf numFmtId="0" fontId="47" fillId="55" borderId="0" applyNumberFormat="0" applyBorder="0" applyAlignment="0" applyProtection="0"/>
    <xf numFmtId="175"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5"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5"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5"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5"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5"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5"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5"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5" fontId="47" fillId="100" borderId="0" applyNumberFormat="0" applyBorder="0" applyAlignment="0" applyProtection="0"/>
    <xf numFmtId="0" fontId="47" fillId="52" borderId="0" applyNumberFormat="0" applyBorder="0" applyAlignment="0" applyProtection="0"/>
    <xf numFmtId="175" fontId="47" fillId="100" borderId="0" applyNumberFormat="0" applyBorder="0" applyAlignment="0" applyProtection="0"/>
    <xf numFmtId="0" fontId="47" fillId="52" borderId="0" applyNumberFormat="0" applyBorder="0" applyAlignment="0" applyProtection="0"/>
    <xf numFmtId="175"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5"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5"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5"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5"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5" fontId="47" fillId="54" borderId="0" applyNumberFormat="0" applyBorder="0" applyAlignment="0" applyProtection="0"/>
    <xf numFmtId="0" fontId="47" fillId="58" borderId="0" applyNumberFormat="0" applyBorder="0" applyAlignment="0" applyProtection="0"/>
    <xf numFmtId="175" fontId="47" fillId="54" borderId="0" applyNumberFormat="0" applyBorder="0" applyAlignment="0" applyProtection="0"/>
    <xf numFmtId="0" fontId="47" fillId="58" borderId="0" applyNumberFormat="0" applyBorder="0" applyAlignment="0" applyProtection="0"/>
    <xf numFmtId="175"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5"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5" fontId="81" fillId="0" borderId="0"/>
    <xf numFmtId="175" fontId="65" fillId="0" borderId="0" applyNumberFormat="0" applyFill="0" applyBorder="0" applyAlignment="0" applyProtection="0"/>
    <xf numFmtId="175"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5"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5"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6" fontId="83" fillId="82" borderId="45">
      <alignment horizontal="center" vertical="center"/>
    </xf>
    <xf numFmtId="176" fontId="83" fillId="82" borderId="45">
      <alignment horizontal="center" vertical="center"/>
    </xf>
    <xf numFmtId="176"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6" fontId="83" fillId="82" borderId="45">
      <alignment horizontal="center" vertical="center"/>
    </xf>
    <xf numFmtId="176" fontId="83" fillId="82" borderId="45">
      <alignment horizontal="center" vertical="center"/>
    </xf>
    <xf numFmtId="175"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103" borderId="29"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103" borderId="29"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59" borderId="29" applyNumberFormat="0" applyAlignment="0" applyProtection="0"/>
    <xf numFmtId="0" fontId="49" fillId="59" borderId="29" applyNumberFormat="0" applyAlignment="0" applyProtection="0"/>
    <xf numFmtId="175"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6" fontId="83" fillId="82" borderId="45">
      <alignment horizontal="center" vertical="center"/>
    </xf>
    <xf numFmtId="0" fontId="49" fillId="59" borderId="29" applyNumberFormat="0" applyAlignment="0" applyProtection="0"/>
    <xf numFmtId="0" fontId="49" fillId="59" borderId="29" applyNumberFormat="0" applyAlignment="0" applyProtection="0"/>
    <xf numFmtId="177" fontId="13" fillId="0" borderId="0"/>
    <xf numFmtId="178" fontId="13" fillId="0" borderId="0"/>
    <xf numFmtId="179" fontId="13" fillId="0" borderId="0"/>
    <xf numFmtId="180" fontId="13" fillId="0" borderId="0"/>
    <xf numFmtId="181"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5"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5"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5"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5" fontId="50" fillId="60" borderId="30" applyNumberFormat="0" applyAlignment="0" applyProtection="0"/>
    <xf numFmtId="0" fontId="50" fillId="60" borderId="30" applyNumberFormat="0" applyAlignment="0" applyProtection="0"/>
    <xf numFmtId="175"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5"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9"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63" fillId="0" borderId="0" applyFont="0" applyFill="0" applyBorder="0" applyAlignment="0" applyProtection="0"/>
    <xf numFmtId="169"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9" fontId="68"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8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8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63" fillId="0" borderId="0" applyFont="0" applyFill="0" applyBorder="0" applyAlignment="0" applyProtection="0"/>
    <xf numFmtId="3" fontId="13" fillId="0" borderId="0" applyFont="0" applyFill="0" applyBorder="0" applyAlignment="0" applyProtection="0"/>
    <xf numFmtId="175" fontId="13" fillId="0" borderId="0" applyBorder="0"/>
    <xf numFmtId="175" fontId="13" fillId="0" borderId="0" applyBorder="0"/>
    <xf numFmtId="175" fontId="13" fillId="0" borderId="0" applyBorder="0"/>
    <xf numFmtId="175" fontId="12" fillId="0" borderId="0"/>
    <xf numFmtId="175" fontId="12" fillId="0" borderId="0">
      <alignment horizontal="center"/>
    </xf>
    <xf numFmtId="175" fontId="65" fillId="0" borderId="0">
      <alignment horizontal="center"/>
    </xf>
    <xf numFmtId="175" fontId="65" fillId="0" borderId="0">
      <alignment horizontal="center"/>
    </xf>
    <xf numFmtId="175" fontId="65" fillId="0" borderId="0">
      <alignment horizontal="center"/>
    </xf>
    <xf numFmtId="175" fontId="65" fillId="0" borderId="0">
      <alignment horizontal="center"/>
    </xf>
    <xf numFmtId="175" fontId="13" fillId="0" borderId="0">
      <alignment horizontal="center"/>
    </xf>
    <xf numFmtId="175" fontId="13" fillId="0" borderId="0">
      <alignment wrapText="1"/>
    </xf>
    <xf numFmtId="175" fontId="78" fillId="0" borderId="0"/>
    <xf numFmtId="175" fontId="68" fillId="0" borderId="0"/>
    <xf numFmtId="175" fontId="68" fillId="0" borderId="0"/>
    <xf numFmtId="175" fontId="68" fillId="0" borderId="0"/>
    <xf numFmtId="175" fontId="68" fillId="0" borderId="0"/>
    <xf numFmtId="175" fontId="87" fillId="0" borderId="0"/>
    <xf numFmtId="168" fontId="63" fillId="0" borderId="0" applyFont="0" applyFill="0" applyBorder="0" applyAlignment="0" applyProtection="0"/>
    <xf numFmtId="168" fontId="46"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5" fontId="8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68" fillId="0" borderId="0" applyFont="0" applyFill="0" applyBorder="0" applyAlignment="0" applyProtection="0"/>
    <xf numFmtId="182" fontId="88" fillId="0" borderId="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46" fillId="0" borderId="0" applyFont="0" applyFill="0" applyBorder="0" applyAlignment="0" applyProtection="0"/>
    <xf numFmtId="168" fontId="1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5"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5"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5"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5" fontId="89" fillId="0" borderId="0"/>
    <xf numFmtId="175"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5"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5"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5"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5"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5"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5"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5"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5" fontId="92" fillId="0" borderId="32" applyNumberFormat="0" applyFill="0" applyAlignment="0" applyProtection="0"/>
    <xf numFmtId="0" fontId="54" fillId="0" borderId="32" applyNumberFormat="0" applyFill="0" applyAlignment="0" applyProtection="0"/>
    <xf numFmtId="175" fontId="92" fillId="0" borderId="32" applyNumberFormat="0" applyFill="0" applyAlignment="0" applyProtection="0"/>
    <xf numFmtId="0" fontId="54" fillId="0" borderId="32" applyNumberFormat="0" applyFill="0" applyAlignment="0" applyProtection="0"/>
    <xf numFmtId="175"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5"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5"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5"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5" fontId="93" fillId="0" borderId="51" applyNumberFormat="0" applyFill="0" applyAlignment="0" applyProtection="0"/>
    <xf numFmtId="0" fontId="55" fillId="0" borderId="33" applyNumberFormat="0" applyFill="0" applyAlignment="0" applyProtection="0"/>
    <xf numFmtId="175" fontId="93" fillId="0" borderId="51" applyNumberFormat="0" applyFill="0" applyAlignment="0" applyProtection="0"/>
    <xf numFmtId="0" fontId="55" fillId="0" borderId="33" applyNumberFormat="0" applyFill="0" applyAlignment="0" applyProtection="0"/>
    <xf numFmtId="175"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5"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5"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5"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5"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7" fontId="69" fillId="106" borderId="0"/>
    <xf numFmtId="178" fontId="69" fillId="106" borderId="0"/>
    <xf numFmtId="179" fontId="69" fillId="106" borderId="0"/>
    <xf numFmtId="175" fontId="13" fillId="106" borderId="0">
      <protection locked="0"/>
    </xf>
    <xf numFmtId="182" fontId="13" fillId="106" borderId="0">
      <protection locked="0"/>
    </xf>
    <xf numFmtId="180" fontId="13" fillId="106" borderId="0">
      <protection locked="0"/>
    </xf>
    <xf numFmtId="181"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5" fontId="83" fillId="107" borderId="45" applyNumberFormat="0">
      <alignment horizontal="center" vertical="center"/>
      <protection locked="0"/>
    </xf>
    <xf numFmtId="175" fontId="83" fillId="107" borderId="45" applyNumberFormat="0">
      <alignment horizontal="center" vertical="center"/>
      <protection locked="0"/>
    </xf>
    <xf numFmtId="175"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5" fontId="83" fillId="107" borderId="45" applyNumberFormat="0">
      <alignment horizontal="center" vertical="center"/>
      <protection locked="0"/>
    </xf>
    <xf numFmtId="175" fontId="83" fillId="107" borderId="45" applyNumberFormat="0">
      <alignment horizontal="center" vertical="center"/>
      <protection locked="0"/>
    </xf>
    <xf numFmtId="175"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61" borderId="29"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61" borderId="29"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46" borderId="29" applyNumberFormat="0" applyAlignment="0" applyProtection="0"/>
    <xf numFmtId="0" fontId="56" fillId="46" borderId="29" applyNumberFormat="0" applyAlignment="0" applyProtection="0"/>
    <xf numFmtId="175"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5"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5" fontId="13" fillId="106" borderId="0">
      <protection locked="0"/>
    </xf>
    <xf numFmtId="175" fontId="13" fillId="106" borderId="0">
      <protection locked="0"/>
    </xf>
    <xf numFmtId="175" fontId="12" fillId="106" borderId="0">
      <protection locked="0"/>
    </xf>
    <xf numFmtId="175" fontId="13" fillId="106" borderId="0">
      <alignment horizontal="center"/>
      <protection locked="0"/>
    </xf>
    <xf numFmtId="175" fontId="13" fillId="106" borderId="0">
      <protection locked="0"/>
    </xf>
    <xf numFmtId="175" fontId="13" fillId="106" borderId="0"/>
    <xf numFmtId="175" fontId="13" fillId="106" borderId="0">
      <alignment wrapText="1"/>
      <protection locked="0"/>
    </xf>
    <xf numFmtId="175" fontId="78" fillId="106" borderId="0">
      <protection locked="0"/>
    </xf>
    <xf numFmtId="175" fontId="68" fillId="106" borderId="0">
      <protection locked="0"/>
    </xf>
    <xf numFmtId="175" fontId="68" fillId="106" borderId="0">
      <protection locked="0"/>
    </xf>
    <xf numFmtId="175" fontId="68" fillId="106" borderId="0">
      <protection locked="0"/>
    </xf>
    <xf numFmtId="175" fontId="68" fillId="106" borderId="0">
      <protection locked="0"/>
    </xf>
    <xf numFmtId="175"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5"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5"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7" fontId="68" fillId="0" borderId="0"/>
    <xf numFmtId="175" fontId="9" fillId="0" borderId="0"/>
    <xf numFmtId="175" fontId="9" fillId="0" borderId="0"/>
    <xf numFmtId="175" fontId="9" fillId="0" borderId="0"/>
    <xf numFmtId="175" fontId="9" fillId="0" borderId="0"/>
    <xf numFmtId="0" fontId="9" fillId="0" borderId="0"/>
    <xf numFmtId="175" fontId="13" fillId="0" borderId="0"/>
    <xf numFmtId="175"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5"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5" fontId="9" fillId="0" borderId="0"/>
    <xf numFmtId="0" fontId="75" fillId="0" borderId="0"/>
    <xf numFmtId="0" fontId="13" fillId="0" borderId="0"/>
    <xf numFmtId="0" fontId="13" fillId="0" borderId="0"/>
    <xf numFmtId="0" fontId="13" fillId="0" borderId="0"/>
    <xf numFmtId="175"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88" fillId="107" borderId="35" applyNumberFormat="0" applyAlignment="0" applyProtection="0"/>
    <xf numFmtId="175" fontId="88" fillId="107" borderId="35" applyNumberFormat="0" applyAlignment="0" applyProtection="0"/>
    <xf numFmtId="175"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88" fillId="108" borderId="35" applyNumberFormat="0" applyAlignment="0" applyProtection="0"/>
    <xf numFmtId="175" fontId="88" fillId="108" borderId="35" applyNumberForma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3"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5" fontId="59" fillId="87" borderId="36" applyNumberFormat="0" applyAlignment="0" applyProtection="0"/>
    <xf numFmtId="175" fontId="59" fillId="87" borderId="36" applyNumberFormat="0" applyAlignment="0" applyProtection="0"/>
    <xf numFmtId="175"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5" fontId="59" fillId="74" borderId="36" applyNumberFormat="0" applyAlignment="0" applyProtection="0"/>
    <xf numFmtId="175" fontId="59" fillId="74" borderId="36" applyNumberFormat="0" applyAlignment="0" applyProtection="0"/>
    <xf numFmtId="175"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103" borderId="36"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103" borderId="36"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59" borderId="36" applyNumberFormat="0" applyAlignment="0" applyProtection="0"/>
    <xf numFmtId="0" fontId="59" fillId="59" borderId="36" applyNumberFormat="0" applyAlignment="0" applyProtection="0"/>
    <xf numFmtId="175"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5"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5"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5"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5"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5" fontId="95" fillId="0" borderId="38">
      <alignment horizontal="center"/>
    </xf>
    <xf numFmtId="0" fontId="95" fillId="0" borderId="38">
      <alignment horizontal="center"/>
    </xf>
    <xf numFmtId="0" fontId="95" fillId="0" borderId="38">
      <alignment horizontal="center"/>
    </xf>
    <xf numFmtId="175" fontId="95" fillId="0" borderId="54">
      <alignment horizontal="center"/>
    </xf>
    <xf numFmtId="175" fontId="95" fillId="0" borderId="54">
      <alignment horizontal="center"/>
    </xf>
    <xf numFmtId="0" fontId="95" fillId="0" borderId="38">
      <alignment horizontal="center"/>
    </xf>
    <xf numFmtId="175"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5"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5"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5"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5"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5" fontId="66" fillId="109" borderId="0" applyNumberFormat="0" applyFont="0" applyBorder="0" applyAlignment="0" applyProtection="0"/>
    <xf numFmtId="177" fontId="13" fillId="0" borderId="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5"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5"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5"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6"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5" fontId="61" fillId="0" borderId="37" applyNumberFormat="0" applyFill="0" applyAlignment="0" applyProtection="0"/>
    <xf numFmtId="175" fontId="61" fillId="0" borderId="37" applyNumberFormat="0" applyFill="0" applyAlignment="0" applyProtection="0"/>
    <xf numFmtId="175"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5" fontId="61" fillId="0" borderId="56" applyNumberFormat="0" applyFill="0" applyAlignment="0" applyProtection="0"/>
    <xf numFmtId="175" fontId="61" fillId="0" borderId="56" applyNumberFormat="0" applyFill="0" applyAlignment="0" applyProtection="0"/>
    <xf numFmtId="175"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5"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5"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5"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5"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5"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vertical="top" textRotation="90" wrapText="1"/>
    </xf>
    <xf numFmtId="175" fontId="100" fillId="79" borderId="57">
      <alignment horizontal="center" vertical="top" textRotation="90" wrapText="1"/>
    </xf>
    <xf numFmtId="175" fontId="100" fillId="79" borderId="57">
      <alignment horizontal="center" vertical="top" textRotation="90" wrapText="1"/>
    </xf>
    <xf numFmtId="175" fontId="101" fillId="0" borderId="0">
      <alignment horizontal="center"/>
    </xf>
    <xf numFmtId="175" fontId="102" fillId="80" borderId="0"/>
    <xf numFmtId="175" fontId="103" fillId="113" borderId="0"/>
    <xf numFmtId="175" fontId="102" fillId="80" borderId="0"/>
    <xf numFmtId="175" fontId="102" fillId="64" borderId="0"/>
    <xf numFmtId="175" fontId="104" fillId="80" borderId="45">
      <alignment horizontal="center" vertical="center"/>
    </xf>
    <xf numFmtId="175" fontId="104" fillId="80" borderId="45">
      <alignment horizontal="center" vertical="center"/>
    </xf>
    <xf numFmtId="175"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9" fontId="13" fillId="0" borderId="0" applyFont="0" applyFill="0" applyBorder="0" applyAlignment="0" applyProtection="0"/>
    <xf numFmtId="169"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9" fontId="75" fillId="0" borderId="0" applyFont="0" applyFill="0" applyBorder="0" applyAlignment="0" applyProtection="0"/>
    <xf numFmtId="169" fontId="75" fillId="0" borderId="0" applyFont="0" applyFill="0" applyBorder="0" applyAlignment="0" applyProtection="0"/>
    <xf numFmtId="0" fontId="126" fillId="0" borderId="0"/>
    <xf numFmtId="169"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4"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65"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4" fontId="10" fillId="0" borderId="0" applyBorder="0"/>
    <xf numFmtId="0" fontId="10" fillId="0" borderId="0"/>
    <xf numFmtId="174"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7" fontId="10" fillId="0" borderId="0"/>
    <xf numFmtId="178" fontId="10" fillId="0" borderId="0"/>
    <xf numFmtId="179" fontId="10" fillId="0" borderId="0"/>
    <xf numFmtId="180" fontId="10" fillId="0" borderId="0"/>
    <xf numFmtId="181" fontId="10" fillId="0" borderId="0"/>
    <xf numFmtId="17" fontId="10" fillId="0" borderId="0"/>
    <xf numFmtId="20" fontId="10" fillId="0" borderId="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75" fontId="10" fillId="0" borderId="0" applyBorder="0"/>
    <xf numFmtId="175" fontId="10" fillId="0" borderId="0" applyBorder="0"/>
    <xf numFmtId="175" fontId="10" fillId="0" borderId="0" applyBorder="0"/>
    <xf numFmtId="175" fontId="10" fillId="0" borderId="0">
      <alignment horizontal="center"/>
    </xf>
    <xf numFmtId="175" fontId="10" fillId="0" borderId="0">
      <alignment wrapText="1"/>
    </xf>
    <xf numFmtId="165"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106" borderId="0">
      <protection locked="0"/>
    </xf>
    <xf numFmtId="182" fontId="10" fillId="106" borderId="0">
      <protection locked="0"/>
    </xf>
    <xf numFmtId="180" fontId="10" fillId="106" borderId="0">
      <protection locked="0"/>
    </xf>
    <xf numFmtId="181" fontId="10" fillId="106" borderId="0">
      <protection locked="0"/>
    </xf>
    <xf numFmtId="17" fontId="10" fillId="106" borderId="0">
      <protection locked="0"/>
    </xf>
    <xf numFmtId="20" fontId="10" fillId="106" borderId="0">
      <protection locked="0"/>
    </xf>
    <xf numFmtId="175" fontId="10" fillId="106" borderId="0">
      <protection locked="0"/>
    </xf>
    <xf numFmtId="175" fontId="10" fillId="106" borderId="0">
      <protection locked="0"/>
    </xf>
    <xf numFmtId="175" fontId="10" fillId="106" borderId="0">
      <alignment horizontal="center"/>
      <protection locked="0"/>
    </xf>
    <xf numFmtId="175" fontId="10" fillId="106" borderId="0">
      <protection locked="0"/>
    </xf>
    <xf numFmtId="175" fontId="10" fillId="106" borderId="0"/>
    <xf numFmtId="175" fontId="10" fillId="106" borderId="0">
      <alignment wrapText="1"/>
      <protection locked="0"/>
    </xf>
    <xf numFmtId="175" fontId="8" fillId="0" borderId="0"/>
    <xf numFmtId="175" fontId="8" fillId="0" borderId="0"/>
    <xf numFmtId="175" fontId="8" fillId="0" borderId="0"/>
    <xf numFmtId="175" fontId="8" fillId="0" borderId="0"/>
    <xf numFmtId="0" fontId="8" fillId="0" borderId="0"/>
    <xf numFmtId="175" fontId="10" fillId="0" borderId="0"/>
    <xf numFmtId="175"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5"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7" fontId="10" fillId="0" borderId="0"/>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4"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65"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4" fontId="10" fillId="0" borderId="0" applyBorder="0"/>
    <xf numFmtId="0" fontId="10" fillId="0" borderId="0"/>
    <xf numFmtId="174"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7" fontId="10" fillId="0" borderId="0"/>
    <xf numFmtId="178" fontId="10" fillId="0" borderId="0"/>
    <xf numFmtId="179" fontId="10" fillId="0" borderId="0"/>
    <xf numFmtId="180" fontId="10" fillId="0" borderId="0"/>
    <xf numFmtId="181" fontId="10" fillId="0" borderId="0"/>
    <xf numFmtId="17" fontId="10" fillId="0" borderId="0"/>
    <xf numFmtId="20" fontId="10" fillId="0" borderId="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75" fontId="10" fillId="0" borderId="0" applyBorder="0"/>
    <xf numFmtId="175" fontId="10" fillId="0" borderId="0" applyBorder="0"/>
    <xf numFmtId="175" fontId="10" fillId="0" borderId="0" applyBorder="0"/>
    <xf numFmtId="175" fontId="10" fillId="0" borderId="0">
      <alignment horizontal="center"/>
    </xf>
    <xf numFmtId="175" fontId="10" fillId="0" borderId="0">
      <alignment wrapText="1"/>
    </xf>
    <xf numFmtId="165"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106" borderId="0">
      <protection locked="0"/>
    </xf>
    <xf numFmtId="182" fontId="10" fillId="106" borderId="0">
      <protection locked="0"/>
    </xf>
    <xf numFmtId="180" fontId="10" fillId="106" borderId="0">
      <protection locked="0"/>
    </xf>
    <xf numFmtId="181" fontId="10" fillId="106" borderId="0">
      <protection locked="0"/>
    </xf>
    <xf numFmtId="17" fontId="10" fillId="106" borderId="0">
      <protection locked="0"/>
    </xf>
    <xf numFmtId="20" fontId="10" fillId="106" borderId="0">
      <protection locked="0"/>
    </xf>
    <xf numFmtId="175" fontId="10" fillId="106" borderId="0">
      <protection locked="0"/>
    </xf>
    <xf numFmtId="175" fontId="10" fillId="106" borderId="0">
      <protection locked="0"/>
    </xf>
    <xf numFmtId="175" fontId="10" fillId="106" borderId="0">
      <alignment horizontal="center"/>
      <protection locked="0"/>
    </xf>
    <xf numFmtId="175" fontId="10" fillId="106" borderId="0">
      <protection locked="0"/>
    </xf>
    <xf numFmtId="175" fontId="10" fillId="106" borderId="0"/>
    <xf numFmtId="175" fontId="10" fillId="106" borderId="0">
      <alignment wrapText="1"/>
      <protection locked="0"/>
    </xf>
    <xf numFmtId="175" fontId="8" fillId="0" borderId="0"/>
    <xf numFmtId="175" fontId="8" fillId="0" borderId="0"/>
    <xf numFmtId="175" fontId="8" fillId="0" borderId="0"/>
    <xf numFmtId="175" fontId="8" fillId="0" borderId="0"/>
    <xf numFmtId="0" fontId="8" fillId="0" borderId="0"/>
    <xf numFmtId="175" fontId="10" fillId="0" borderId="0"/>
    <xf numFmtId="175"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5"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7" fontId="10" fillId="0" borderId="0"/>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9"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0" fontId="8" fillId="21" borderId="0" applyNumberFormat="0" applyBorder="0" applyAlignment="0" applyProtection="0"/>
    <xf numFmtId="169" fontId="46" fillId="0" borderId="0" applyFont="0" applyFill="0" applyBorder="0" applyAlignment="0" applyProtection="0"/>
    <xf numFmtId="16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92"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5" fontId="10" fillId="0" borderId="0" applyFont="0" applyFill="0" applyBorder="0" applyAlignment="0" applyProtection="0"/>
    <xf numFmtId="0" fontId="8" fillId="21" borderId="0" applyNumberFormat="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9" fontId="10" fillId="0" borderId="0" applyFont="0" applyFill="0" applyBorder="0" applyAlignment="0" applyProtection="0"/>
    <xf numFmtId="169"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5" fontId="8" fillId="0" borderId="0"/>
    <xf numFmtId="175" fontId="8" fillId="0" borderId="0"/>
    <xf numFmtId="175"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9"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9" fontId="46"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43" fontId="135" fillId="0" borderId="0" applyFont="0" applyFill="0" applyBorder="0" applyAlignment="0" applyProtection="0"/>
    <xf numFmtId="169"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9" fontId="46" fillId="0" borderId="0" applyFont="0" applyFill="0" applyBorder="0" applyAlignment="0" applyProtection="0"/>
    <xf numFmtId="169" fontId="135" fillId="0" borderId="0" applyFont="0" applyFill="0" applyBorder="0" applyAlignment="0" applyProtection="0"/>
    <xf numFmtId="43" fontId="29" fillId="0" borderId="0" applyFont="0" applyFill="0" applyBorder="0" applyAlignment="0" applyProtection="0"/>
    <xf numFmtId="175" fontId="135" fillId="0" borderId="0" applyFont="0" applyFill="0" applyBorder="0" applyAlignment="0" applyProtection="0"/>
    <xf numFmtId="175" fontId="135" fillId="0" borderId="0" applyFont="0" applyFill="0" applyBorder="0" applyAlignment="0" applyProtection="0"/>
    <xf numFmtId="175"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8" fillId="0" borderId="0"/>
    <xf numFmtId="175" fontId="8" fillId="0" borderId="0"/>
    <xf numFmtId="175"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9" fontId="29" fillId="0" borderId="0" applyFont="0" applyFill="0" applyBorder="0" applyAlignment="0" applyProtection="0"/>
    <xf numFmtId="0" fontId="140" fillId="0" borderId="0"/>
    <xf numFmtId="43" fontId="140" fillId="0" borderId="0" applyFont="0" applyFill="0" applyBorder="0" applyAlignment="0" applyProtection="0"/>
    <xf numFmtId="168"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70"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4" fontId="12" fillId="123" borderId="91">
      <alignment horizontal="center" vertical="center"/>
    </xf>
    <xf numFmtId="195" fontId="177" fillId="0" borderId="0" applyFill="0" applyBorder="0" applyProtection="0">
      <alignment horizontal="right"/>
      <protection locked="0"/>
    </xf>
    <xf numFmtId="196" fontId="177" fillId="0" borderId="0" applyFill="0" applyBorder="0" applyProtection="0">
      <alignment horizontal="right"/>
    </xf>
    <xf numFmtId="197"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6" fontId="179" fillId="0" borderId="0">
      <protection locked="0"/>
    </xf>
    <xf numFmtId="198" fontId="177" fillId="0" borderId="0" applyFont="0" applyFill="0" applyBorder="0" applyAlignment="0" applyProtection="0"/>
    <xf numFmtId="199" fontId="177" fillId="0" borderId="0" applyFont="0" applyFill="0" applyBorder="0" applyAlignment="0" applyProtection="0"/>
    <xf numFmtId="200" fontId="10" fillId="0" borderId="0" applyFont="0" applyFill="0" applyBorder="0" applyAlignment="0" applyProtection="0"/>
    <xf numFmtId="201"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2" fontId="10" fillId="0" borderId="0" applyFont="0" applyFill="0" applyBorder="0" applyAlignment="0" applyProtection="0"/>
    <xf numFmtId="203"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4" fontId="10" fillId="0" borderId="0">
      <protection locked="0"/>
    </xf>
    <xf numFmtId="204"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5"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6" fontId="177" fillId="0" borderId="0" applyFont="0" applyFill="0" applyBorder="0" applyAlignment="0" applyProtection="0"/>
    <xf numFmtId="198"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7"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8" fontId="10" fillId="0" borderId="0" applyFont="0" applyFill="0" applyBorder="0" applyAlignment="0" applyProtection="0"/>
    <xf numFmtId="209"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70"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70" fontId="16" fillId="0" borderId="10" xfId="0" applyNumberFormat="1" applyFont="1" applyBorder="1" applyAlignment="1">
      <alignment horizontal="left" vertical="center"/>
    </xf>
    <xf numFmtId="0" fontId="0" fillId="0" borderId="3" xfId="0" applyBorder="1"/>
    <xf numFmtId="170"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70" fontId="16" fillId="0" borderId="13" xfId="0" applyNumberFormat="1" applyFont="1" applyBorder="1" applyAlignment="1">
      <alignment horizontal="left" vertical="center"/>
    </xf>
    <xf numFmtId="0" fontId="0" fillId="0" borderId="9" xfId="0" applyBorder="1"/>
    <xf numFmtId="0" fontId="12" fillId="0" borderId="14" xfId="0" applyFont="1" applyBorder="1"/>
    <xf numFmtId="170"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70"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3" fontId="13" fillId="72" borderId="39" xfId="40" quotePrefix="1" applyNumberFormat="1" applyFill="1" applyBorder="1" applyAlignment="1">
      <alignment horizontal="center" vertical="center"/>
    </xf>
    <xf numFmtId="173" fontId="64" fillId="64" borderId="39" xfId="40" applyNumberFormat="1" applyFont="1" applyFill="1" applyBorder="1" applyAlignment="1" applyProtection="1">
      <alignment horizontal="center"/>
      <protection locked="0"/>
    </xf>
    <xf numFmtId="173" fontId="64" fillId="64" borderId="39" xfId="40" applyNumberFormat="1" applyFont="1" applyFill="1" applyBorder="1" applyAlignment="1" applyProtection="1">
      <alignment horizontal="center" vertical="center"/>
      <protection locked="0"/>
    </xf>
    <xf numFmtId="173" fontId="64" fillId="14" borderId="39" xfId="40" applyNumberFormat="1" applyFont="1" applyFill="1" applyBorder="1" applyAlignment="1" applyProtection="1">
      <alignment horizontal="center" vertical="center"/>
      <protection locked="0"/>
    </xf>
    <xf numFmtId="173" fontId="64" fillId="64" borderId="39" xfId="40" applyNumberFormat="1" applyFont="1" applyFill="1" applyBorder="1" applyAlignment="1">
      <alignment horizontal="center" vertical="center"/>
    </xf>
    <xf numFmtId="173" fontId="64" fillId="63" borderId="39" xfId="40" applyNumberFormat="1" applyFont="1" applyFill="1" applyBorder="1" applyAlignment="1">
      <alignment horizontal="center" vertical="center"/>
    </xf>
    <xf numFmtId="173" fontId="64" fillId="66" borderId="39" xfId="40" applyNumberFormat="1" applyFont="1" applyFill="1" applyBorder="1" applyAlignment="1">
      <alignment horizontal="center" vertical="center"/>
    </xf>
    <xf numFmtId="173" fontId="64" fillId="68" borderId="39" xfId="40" applyNumberFormat="1" applyFont="1" applyFill="1" applyBorder="1" applyAlignment="1">
      <alignment horizontal="center" vertical="center"/>
    </xf>
    <xf numFmtId="173" fontId="64" fillId="69" borderId="39" xfId="40" applyNumberFormat="1" applyFont="1" applyFill="1" applyBorder="1" applyAlignment="1">
      <alignment horizontal="center" vertical="center"/>
    </xf>
    <xf numFmtId="173"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3" fontId="13" fillId="72" borderId="39" xfId="40" applyNumberFormat="1" applyFill="1" applyBorder="1" applyAlignment="1">
      <alignment horizontal="center" vertical="center"/>
    </xf>
    <xf numFmtId="173" fontId="64" fillId="72" borderId="39" xfId="40" applyNumberFormat="1" applyFont="1" applyFill="1" applyBorder="1" applyAlignment="1" applyProtection="1">
      <alignment horizontal="center"/>
      <protection locked="0"/>
    </xf>
    <xf numFmtId="173" fontId="64" fillId="72" borderId="39" xfId="40" applyNumberFormat="1" applyFont="1" applyFill="1" applyBorder="1" applyAlignment="1" applyProtection="1">
      <alignment horizontal="center" vertical="center"/>
      <protection locked="0"/>
    </xf>
    <xf numFmtId="173" fontId="64" fillId="72" borderId="39" xfId="40" applyNumberFormat="1" applyFont="1" applyFill="1" applyBorder="1" applyAlignment="1">
      <alignment horizontal="center" vertical="center"/>
    </xf>
    <xf numFmtId="173" fontId="64" fillId="72" borderId="39" xfId="35" applyNumberFormat="1" applyFont="1" applyFill="1" applyBorder="1" applyAlignment="1">
      <alignment horizontal="center"/>
    </xf>
    <xf numFmtId="173"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3" fontId="64" fillId="72" borderId="61" xfId="0" applyNumberFormat="1" applyFont="1" applyFill="1" applyBorder="1" applyAlignment="1">
      <alignment horizontal="center"/>
    </xf>
    <xf numFmtId="173" fontId="64" fillId="64" borderId="60" xfId="40" applyNumberFormat="1" applyFont="1" applyFill="1" applyBorder="1" applyAlignment="1">
      <alignment horizontal="center" vertical="center"/>
    </xf>
    <xf numFmtId="173" fontId="64" fillId="72" borderId="60" xfId="40" applyNumberFormat="1" applyFont="1" applyFill="1" applyBorder="1" applyAlignment="1">
      <alignment horizontal="center" vertical="center"/>
    </xf>
    <xf numFmtId="173"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3" fontId="64" fillId="72" borderId="42" xfId="0" applyNumberFormat="1" applyFont="1" applyFill="1" applyBorder="1" applyAlignment="1">
      <alignment horizontal="center"/>
    </xf>
    <xf numFmtId="173" fontId="64" fillId="67" borderId="42" xfId="40" applyNumberFormat="1" applyFont="1" applyFill="1" applyBorder="1" applyAlignment="1">
      <alignment horizontal="center" vertical="center"/>
    </xf>
    <xf numFmtId="173" fontId="64" fillId="72" borderId="42" xfId="40" applyNumberFormat="1" applyFont="1" applyFill="1" applyBorder="1" applyAlignment="1">
      <alignment horizontal="center" vertical="center"/>
    </xf>
    <xf numFmtId="173"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3" fontId="64" fillId="72" borderId="41" xfId="0" applyNumberFormat="1" applyFont="1" applyFill="1" applyBorder="1" applyAlignment="1">
      <alignment horizontal="center"/>
    </xf>
    <xf numFmtId="173" fontId="64" fillId="64" borderId="41" xfId="40" applyNumberFormat="1" applyFont="1" applyFill="1" applyBorder="1" applyAlignment="1">
      <alignment horizontal="center" vertical="center"/>
    </xf>
    <xf numFmtId="173" fontId="64" fillId="72" borderId="41" xfId="40" applyNumberFormat="1" applyFont="1" applyFill="1" applyBorder="1" applyAlignment="1">
      <alignment horizontal="center" vertical="center"/>
    </xf>
    <xf numFmtId="173"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71" fontId="113" fillId="0" borderId="0" xfId="0" applyNumberFormat="1" applyFont="1"/>
    <xf numFmtId="171" fontId="71" fillId="0" borderId="0" xfId="0" applyNumberFormat="1" applyFont="1"/>
    <xf numFmtId="171" fontId="105" fillId="2" borderId="1" xfId="0" applyNumberFormat="1" applyFont="1" applyFill="1" applyBorder="1" applyAlignment="1">
      <alignment horizontal="left"/>
    </xf>
    <xf numFmtId="171" fontId="105" fillId="2" borderId="3" xfId="0" applyNumberFormat="1" applyFont="1" applyFill="1" applyBorder="1" applyAlignment="1">
      <alignment horizontal="left"/>
    </xf>
    <xf numFmtId="171"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71" fontId="70" fillId="3" borderId="2" xfId="1" applyNumberFormat="1" applyFont="1" applyBorder="1" applyAlignment="1">
      <alignment horizontal="center" wrapText="1"/>
    </xf>
    <xf numFmtId="1" fontId="71" fillId="14" borderId="0" xfId="0" applyNumberFormat="1" applyFont="1" applyFill="1"/>
    <xf numFmtId="171"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71" fontId="113" fillId="0" borderId="0" xfId="0" applyNumberFormat="1" applyFont="1" applyAlignment="1">
      <alignment horizontal="center" vertical="center"/>
    </xf>
    <xf numFmtId="171" fontId="71" fillId="0" borderId="0" xfId="0" applyNumberFormat="1" applyFont="1" applyAlignment="1">
      <alignment horizontal="center" vertical="center"/>
    </xf>
    <xf numFmtId="171" fontId="105" fillId="2" borderId="1" xfId="0" applyNumberFormat="1" applyFont="1" applyFill="1" applyBorder="1" applyAlignment="1">
      <alignment horizontal="center" vertical="center"/>
    </xf>
    <xf numFmtId="171" fontId="105" fillId="2" borderId="3" xfId="0" applyNumberFormat="1" applyFont="1" applyFill="1" applyBorder="1" applyAlignment="1">
      <alignment horizontal="center" vertical="center"/>
    </xf>
    <xf numFmtId="171"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5" fontId="73" fillId="121" borderId="0" xfId="7582" applyNumberFormat="1" applyFont="1" applyFill="1"/>
    <xf numFmtId="43" fontId="106" fillId="121" borderId="0" xfId="7582" applyNumberFormat="1" applyFont="1" applyFill="1" applyAlignment="1">
      <alignment horizontal="left" vertical="center" wrapText="1"/>
    </xf>
    <xf numFmtId="184"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4"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4" fontId="106" fillId="121" borderId="0" xfId="7582" applyNumberFormat="1" applyFont="1" applyFill="1" applyAlignment="1">
      <alignment horizontal="left" vertical="center" wrapText="1" indent="1"/>
    </xf>
    <xf numFmtId="185" fontId="106" fillId="121" borderId="0" xfId="7582" applyNumberFormat="1" applyFont="1" applyFill="1" applyAlignment="1">
      <alignment horizontal="right"/>
    </xf>
    <xf numFmtId="184" fontId="74" fillId="121" borderId="0" xfId="7582" applyNumberFormat="1" applyFont="1" applyFill="1" applyAlignment="1">
      <alignment horizontal="left" indent="2"/>
    </xf>
    <xf numFmtId="185" fontId="74" fillId="121" borderId="0" xfId="7582" applyNumberFormat="1" applyFont="1" applyFill="1"/>
    <xf numFmtId="184" fontId="74" fillId="121" borderId="0" xfId="7582" applyNumberFormat="1" applyFont="1" applyFill="1"/>
    <xf numFmtId="43" fontId="116" fillId="121" borderId="0" xfId="7582" applyNumberFormat="1" applyFont="1" applyFill="1" applyAlignment="1">
      <alignment horizontal="left" vertical="center" wrapText="1"/>
    </xf>
    <xf numFmtId="184" fontId="116" fillId="121" borderId="0" xfId="7582" applyNumberFormat="1" applyFont="1" applyFill="1" applyAlignment="1">
      <alignment horizontal="left" vertical="center" wrapText="1"/>
    </xf>
    <xf numFmtId="184" fontId="73" fillId="65" borderId="0" xfId="7582" applyNumberFormat="1" applyFont="1" applyFill="1" applyAlignment="1">
      <alignment horizontal="left" indent="1"/>
    </xf>
    <xf numFmtId="43" fontId="74" fillId="65" borderId="0" xfId="7582" applyNumberFormat="1" applyFont="1" applyFill="1"/>
    <xf numFmtId="185" fontId="74" fillId="65" borderId="0" xfId="7582" applyNumberFormat="1" applyFont="1" applyFill="1"/>
    <xf numFmtId="184" fontId="74" fillId="65" borderId="0" xfId="7582" applyNumberFormat="1" applyFont="1" applyFill="1" applyAlignment="1">
      <alignment horizontal="left" indent="2"/>
    </xf>
    <xf numFmtId="184" fontId="117" fillId="121" borderId="0" xfId="7582" applyNumberFormat="1" applyFont="1" applyFill="1"/>
    <xf numFmtId="43" fontId="117" fillId="121" borderId="0" xfId="7582" applyNumberFormat="1" applyFont="1" applyFill="1"/>
    <xf numFmtId="184"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4"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4" fontId="29" fillId="73" borderId="68" xfId="7586" applyNumberFormat="1" applyFont="1" applyFill="1" applyBorder="1"/>
    <xf numFmtId="184"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7" fontId="74" fillId="73" borderId="0" xfId="7586" applyNumberFormat="1" applyFont="1" applyFill="1"/>
    <xf numFmtId="187" fontId="74" fillId="73" borderId="66" xfId="7583" applyNumberFormat="1" applyFont="1" applyFill="1" applyBorder="1"/>
    <xf numFmtId="187" fontId="74" fillId="73" borderId="38" xfId="7586" applyNumberFormat="1" applyFont="1" applyFill="1" applyBorder="1"/>
    <xf numFmtId="187"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6"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6" fontId="12" fillId="64" borderId="10" xfId="12" applyNumberFormat="1" applyFont="1" applyFill="1" applyBorder="1"/>
    <xf numFmtId="0" fontId="13" fillId="64" borderId="11" xfId="12" applyFill="1" applyBorder="1"/>
    <xf numFmtId="9" fontId="75" fillId="64" borderId="8" xfId="18" applyFont="1" applyFill="1" applyBorder="1" applyAlignment="1"/>
    <xf numFmtId="186"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8" fontId="13" fillId="64" borderId="10" xfId="12" applyNumberFormat="1" applyFill="1" applyBorder="1"/>
    <xf numFmtId="188" fontId="13" fillId="64" borderId="3" xfId="12" applyNumberFormat="1" applyFill="1" applyBorder="1"/>
    <xf numFmtId="188" fontId="13" fillId="64" borderId="13" xfId="12" applyNumberFormat="1" applyFill="1" applyBorder="1"/>
    <xf numFmtId="188" fontId="12" fillId="64" borderId="10" xfId="12" applyNumberFormat="1" applyFont="1" applyFill="1" applyBorder="1"/>
    <xf numFmtId="188" fontId="12" fillId="64" borderId="3" xfId="12" applyNumberFormat="1" applyFont="1" applyFill="1" applyBorder="1"/>
    <xf numFmtId="188" fontId="13" fillId="64" borderId="11" xfId="12" applyNumberFormat="1" applyFill="1" applyBorder="1"/>
    <xf numFmtId="188" fontId="13" fillId="64" borderId="0" xfId="12" applyNumberFormat="1" applyFill="1"/>
    <xf numFmtId="188" fontId="12" fillId="64" borderId="1" xfId="12" applyNumberFormat="1" applyFont="1" applyFill="1" applyBorder="1"/>
    <xf numFmtId="188" fontId="12" fillId="64" borderId="13" xfId="12" applyNumberFormat="1" applyFont="1" applyFill="1" applyBorder="1"/>
    <xf numFmtId="188"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9" fontId="71" fillId="14" borderId="0" xfId="0" applyNumberFormat="1" applyFont="1" applyFill="1"/>
    <xf numFmtId="189"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4"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9" fontId="123" fillId="0" borderId="0" xfId="7586" applyNumberFormat="1" applyFont="1" applyAlignment="1">
      <alignment horizontal="left" vertical="center" wrapText="1"/>
    </xf>
    <xf numFmtId="0" fontId="120" fillId="0" borderId="0" xfId="7586" applyFont="1" applyAlignment="1">
      <alignment horizontal="left" indent="3"/>
    </xf>
    <xf numFmtId="169" fontId="120" fillId="0" borderId="0" xfId="7590" applyFont="1" applyFill="1" applyBorder="1"/>
    <xf numFmtId="190" fontId="120" fillId="0" borderId="0" xfId="7590" applyNumberFormat="1" applyFont="1" applyFill="1"/>
    <xf numFmtId="169"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9" fontId="128" fillId="0" borderId="0" xfId="7590" applyFont="1" applyFill="1" applyBorder="1" applyAlignment="1">
      <alignment horizontal="left" vertical="center" wrapText="1"/>
    </xf>
    <xf numFmtId="169" fontId="123" fillId="0" borderId="0" xfId="7590" applyFont="1" applyFill="1"/>
    <xf numFmtId="0" fontId="128" fillId="0" borderId="0" xfId="7586" applyFont="1" applyAlignment="1">
      <alignment horizontal="left" vertical="center" wrapText="1"/>
    </xf>
    <xf numFmtId="169" fontId="128" fillId="0" borderId="0" xfId="7586" applyNumberFormat="1" applyFont="1" applyAlignment="1">
      <alignment horizontal="left" vertical="center" wrapText="1"/>
    </xf>
    <xf numFmtId="169"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9" fontId="120" fillId="0" borderId="0" xfId="7590" applyFont="1" applyFill="1" applyBorder="1" applyAlignment="1">
      <alignment horizontal="left" vertical="center" wrapText="1"/>
    </xf>
    <xf numFmtId="169" fontId="122" fillId="0" borderId="0" xfId="7586" applyNumberFormat="1" applyFont="1"/>
    <xf numFmtId="0" fontId="125" fillId="0" borderId="0" xfId="7586" applyFont="1"/>
    <xf numFmtId="0" fontId="129" fillId="0" borderId="0" xfId="7586" applyFont="1"/>
    <xf numFmtId="0" fontId="123" fillId="0" borderId="0" xfId="7586" applyFont="1"/>
    <xf numFmtId="189"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9" fontId="127" fillId="0" borderId="0" xfId="7590" applyFont="1" applyFill="1"/>
    <xf numFmtId="0" fontId="122" fillId="0" borderId="0" xfId="7586" applyFont="1" applyAlignment="1">
      <alignment horizontal="left" indent="2"/>
    </xf>
    <xf numFmtId="169" fontId="122" fillId="0" borderId="0" xfId="7590" applyFont="1" applyFill="1" applyBorder="1"/>
    <xf numFmtId="169" fontId="122" fillId="0" borderId="0" xfId="7590" applyFont="1" applyFill="1"/>
    <xf numFmtId="0" fontId="121" fillId="0" borderId="0" xfId="7586" applyFont="1"/>
    <xf numFmtId="0" fontId="121" fillId="0" borderId="0" xfId="7586" applyFont="1" applyAlignment="1">
      <alignment horizontal="left" indent="1"/>
    </xf>
    <xf numFmtId="189" fontId="71" fillId="14" borderId="0" xfId="0" applyNumberFormat="1" applyFont="1" applyFill="1" applyAlignment="1">
      <alignment horizontal="center" vertical="center"/>
    </xf>
    <xf numFmtId="189" fontId="71" fillId="14" borderId="0" xfId="0" applyNumberFormat="1" applyFont="1" applyFill="1" applyAlignment="1">
      <alignment horizontal="center" vertical="center" wrapText="1"/>
    </xf>
    <xf numFmtId="169"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91"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71"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9" fontId="71" fillId="0" borderId="0" xfId="14516" applyNumberFormat="1" applyFont="1" applyAlignment="1">
      <alignment horizontal="center" vertical="center"/>
    </xf>
    <xf numFmtId="189"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9" fontId="71" fillId="14" borderId="0" xfId="14516" applyNumberFormat="1" applyFont="1" applyFill="1" applyAlignment="1">
      <alignment horizontal="center" vertical="center"/>
    </xf>
    <xf numFmtId="189"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9"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91"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9" fontId="68" fillId="16" borderId="8" xfId="0" applyNumberFormat="1" applyFont="1" applyFill="1" applyBorder="1" applyAlignment="1">
      <alignment horizontal="center"/>
    </xf>
    <xf numFmtId="191" fontId="68" fillId="16" borderId="8" xfId="0" applyNumberFormat="1" applyFont="1" applyFill="1" applyBorder="1" applyAlignment="1">
      <alignment horizontal="center"/>
    </xf>
    <xf numFmtId="172"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91"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3" fontId="12" fillId="0" borderId="82" xfId="18779" applyNumberFormat="1" applyFont="1" applyBorder="1" applyAlignment="1">
      <alignment vertical="center"/>
    </xf>
    <xf numFmtId="189" fontId="71" fillId="13" borderId="0" xfId="14516" applyNumberFormat="1" applyFont="1" applyFill="1" applyAlignment="1">
      <alignment horizontal="center" vertical="center"/>
    </xf>
    <xf numFmtId="189" fontId="164" fillId="0" borderId="86" xfId="18779" applyNumberFormat="1" applyFont="1" applyBorder="1" applyAlignment="1">
      <alignment horizontal="center"/>
    </xf>
    <xf numFmtId="189" fontId="164" fillId="0" borderId="71" xfId="18779" applyNumberFormat="1" applyFont="1" applyBorder="1" applyAlignment="1">
      <alignment horizontal="center"/>
    </xf>
    <xf numFmtId="189" fontId="164" fillId="0" borderId="87" xfId="18779" applyNumberFormat="1" applyFont="1" applyBorder="1" applyAlignment="1">
      <alignment horizontal="center"/>
    </xf>
    <xf numFmtId="189"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9" fontId="12" fillId="0" borderId="83" xfId="18779" applyNumberFormat="1" applyFont="1" applyBorder="1" applyAlignment="1">
      <alignment horizontal="center"/>
    </xf>
    <xf numFmtId="189" fontId="12" fillId="0" borderId="84" xfId="18779" applyNumberFormat="1" applyFont="1" applyBorder="1" applyAlignment="1">
      <alignment horizontal="center"/>
    </xf>
    <xf numFmtId="191"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2" fontId="0" fillId="0" borderId="0" xfId="17" applyNumberFormat="1" applyFont="1"/>
    <xf numFmtId="189"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91" fontId="68" fillId="16" borderId="8" xfId="0" applyNumberFormat="1" applyFont="1" applyFill="1" applyBorder="1" applyAlignment="1">
      <alignment horizontal="center" vertical="center"/>
    </xf>
    <xf numFmtId="189"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9"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71" fontId="68" fillId="16" borderId="0" xfId="0" applyNumberFormat="1" applyFont="1" applyFill="1" applyAlignment="1">
      <alignment horizontal="center" vertical="center"/>
    </xf>
    <xf numFmtId="171"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7" fontId="175" fillId="128" borderId="66" xfId="22770" applyNumberFormat="1" applyFont="1" applyFill="1" applyBorder="1" applyAlignment="1">
      <alignment vertical="center" wrapText="1"/>
    </xf>
    <xf numFmtId="167"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2"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9" fontId="70" fillId="3" borderId="1" xfId="1" applyNumberFormat="1" applyFont="1" applyBorder="1" applyAlignment="1">
      <alignment horizontal="left" vertical="top" wrapText="1"/>
    </xf>
    <xf numFmtId="171"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9"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2" fontId="68" fillId="16" borderId="15" xfId="17391" applyNumberFormat="1" applyFont="1" applyFill="1" applyBorder="1" applyAlignment="1">
      <alignment horizontal="center" vertical="center"/>
    </xf>
    <xf numFmtId="172"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9"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71"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2" fontId="191" fillId="16" borderId="15" xfId="16602" applyNumberFormat="1" applyFont="1" applyFill="1" applyBorder="1" applyAlignment="1">
      <alignment horizontal="center" vertical="center"/>
    </xf>
    <xf numFmtId="191" fontId="191" fillId="16" borderId="8" xfId="0" applyNumberFormat="1" applyFont="1" applyFill="1" applyBorder="1" applyAlignment="1">
      <alignment horizontal="center" vertical="center"/>
    </xf>
    <xf numFmtId="189" fontId="191" fillId="16" borderId="0" xfId="0" applyNumberFormat="1" applyFont="1" applyFill="1" applyAlignment="1">
      <alignment horizontal="center" vertical="center"/>
    </xf>
    <xf numFmtId="172" fontId="191" fillId="16" borderId="0" xfId="16602" applyNumberFormat="1" applyFont="1" applyFill="1" applyAlignment="1">
      <alignment horizontal="center" vertical="center"/>
    </xf>
    <xf numFmtId="171"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164"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91" fontId="154" fillId="0" borderId="1" xfId="18230" applyNumberFormat="1" applyFont="1" applyBorder="1" applyAlignment="1">
      <alignment horizontal="center" vertical="center" wrapText="1"/>
    </xf>
    <xf numFmtId="191" fontId="154" fillId="0" borderId="79" xfId="18230" applyNumberFormat="1" applyFont="1" applyBorder="1" applyAlignment="1">
      <alignment horizontal="center" vertical="center" wrapText="1"/>
    </xf>
    <xf numFmtId="191" fontId="154" fillId="0" borderId="0" xfId="18230" applyNumberFormat="1" applyFont="1" applyAlignment="1">
      <alignment horizontal="center" vertical="center" wrapText="1"/>
    </xf>
    <xf numFmtId="191"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7"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5"/>
  <cols>
    <col min="1" max="1" width="3" bestFit="1" customWidth="1"/>
    <col min="2" max="2" width="18.453125" bestFit="1" customWidth="1"/>
    <col min="3" max="3" width="41.1796875" bestFit="1" customWidth="1"/>
    <col min="4" max="4" width="12" bestFit="1" customWidth="1"/>
    <col min="5" max="5" width="12.26953125" bestFit="1" customWidth="1"/>
    <col min="6" max="7" width="10.81640625" customWidth="1"/>
    <col min="8" max="8" width="12.1796875" bestFit="1" customWidth="1"/>
    <col min="9" max="9" width="12.81640625" customWidth="1"/>
    <col min="10" max="10" width="15.7265625" customWidth="1"/>
    <col min="11" max="12" width="10.81640625" customWidth="1"/>
    <col min="13" max="13" width="17.81640625" bestFit="1" customWidth="1"/>
    <col min="14" max="15" width="10.81640625" customWidth="1"/>
    <col min="16" max="16" width="12.453125" customWidth="1"/>
    <col min="17" max="17" width="12.54296875" customWidth="1"/>
    <col min="18" max="18" width="12.81640625" customWidth="1"/>
    <col min="19" max="19" width="12.54296875" customWidth="1"/>
    <col min="20" max="20" width="12.453125" customWidth="1"/>
    <col min="21" max="21" width="10.81640625" customWidth="1"/>
    <col min="22" max="23" width="9.1796875" customWidth="1"/>
    <col min="24" max="24" width="12.54296875" bestFit="1" customWidth="1"/>
    <col min="25" max="25" width="16" customWidth="1"/>
    <col min="26" max="26" width="15.26953125" customWidth="1"/>
    <col min="27" max="27" width="16.54296875" customWidth="1"/>
    <col min="28" max="28" width="11.81640625" bestFit="1" customWidth="1"/>
    <col min="29" max="29" width="21.453125" bestFit="1" customWidth="1"/>
    <col min="30" max="30" width="23.453125" bestFit="1" customWidth="1"/>
    <col min="31" max="45" width="10.81640625" customWidth="1"/>
  </cols>
  <sheetData>
    <row r="1" spans="2:27" ht="13">
      <c r="X1" s="4" t="s">
        <v>80</v>
      </c>
      <c r="Y1" s="1" t="s">
        <v>81</v>
      </c>
      <c r="Z1" s="1" t="s">
        <v>82</v>
      </c>
      <c r="AA1" s="1" t="s">
        <v>85</v>
      </c>
    </row>
    <row r="2" spans="2:27" ht="15.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6">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ht="13">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ht="13">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ht="13">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4.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ht="13">
      <c r="B9" s="37"/>
      <c r="C9" s="38" t="s">
        <v>130</v>
      </c>
      <c r="D9" s="39"/>
      <c r="E9" s="39"/>
      <c r="F9" s="39"/>
      <c r="G9" s="39"/>
      <c r="H9" s="39"/>
      <c r="I9" s="39"/>
      <c r="J9" s="39"/>
      <c r="K9" s="39"/>
      <c r="L9" s="39"/>
      <c r="M9" s="39"/>
      <c r="N9" s="39"/>
      <c r="O9" s="39"/>
      <c r="P9" s="39"/>
      <c r="Q9" s="39"/>
      <c r="R9" s="39"/>
      <c r="S9" s="39"/>
      <c r="T9" s="39"/>
      <c r="U9" s="39"/>
      <c r="V9" s="40"/>
    </row>
    <row r="10" spans="2:27" ht="13">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ht="13">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ht="13">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4.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4.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4.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ht="13">
      <c r="B26" s="46"/>
      <c r="C26" s="4" t="s">
        <v>80</v>
      </c>
      <c r="D26" s="1" t="s">
        <v>81</v>
      </c>
      <c r="E26" s="1"/>
      <c r="F26" s="1" t="s">
        <v>82</v>
      </c>
      <c r="G26" s="1" t="s">
        <v>85</v>
      </c>
    </row>
    <row r="27" spans="2:29" ht="15.5">
      <c r="B27" s="46"/>
      <c r="D27" s="11" t="s">
        <v>148</v>
      </c>
      <c r="E27" s="11"/>
      <c r="F27" s="3" t="s">
        <v>69</v>
      </c>
      <c r="G27" s="3" t="s">
        <v>86</v>
      </c>
    </row>
    <row r="29" spans="2:29">
      <c r="B29" t="s">
        <v>647</v>
      </c>
    </row>
    <row r="30" spans="2:29" ht="13" thickBot="1">
      <c r="C30" s="57" t="s">
        <v>149</v>
      </c>
      <c r="D30" s="586" t="s">
        <v>150</v>
      </c>
      <c r="E30" s="586"/>
      <c r="F30" s="586"/>
      <c r="G30" s="586"/>
      <c r="H30" s="586"/>
      <c r="I30" s="587" t="s">
        <v>151</v>
      </c>
      <c r="J30" s="587"/>
      <c r="K30" s="587"/>
      <c r="L30" s="587"/>
      <c r="M30" s="587"/>
      <c r="N30" s="587"/>
      <c r="O30" s="587"/>
      <c r="P30" s="587"/>
      <c r="Q30" s="58" t="s">
        <v>52</v>
      </c>
      <c r="R30" s="588" t="s">
        <v>152</v>
      </c>
      <c r="S30" s="588"/>
      <c r="T30" s="588"/>
      <c r="U30" s="588"/>
      <c r="V30" s="588"/>
      <c r="W30" s="588"/>
      <c r="X30" s="588"/>
      <c r="Y30" s="589"/>
      <c r="Z30" s="77"/>
      <c r="AA30" s="59" t="s">
        <v>75</v>
      </c>
      <c r="AB30" s="60" t="s">
        <v>153</v>
      </c>
      <c r="AC30" s="590" t="s">
        <v>154</v>
      </c>
    </row>
    <row r="31" spans="2:29" ht="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ht="13">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ht="13">
      <c r="B40" s="79" t="s">
        <v>189</v>
      </c>
      <c r="C40" s="81" t="s">
        <v>190</v>
      </c>
    </row>
    <row r="45" spans="1:29" ht="25">
      <c r="A45" s="599" t="s">
        <v>330</v>
      </c>
      <c r="B45" s="59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3.5" thickBot="1">
      <c r="A46" s="600">
        <v>2015</v>
      </c>
      <c r="B46" s="60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2" t="s">
        <v>445</v>
      </c>
      <c r="B47" s="603"/>
      <c r="C47" s="378"/>
      <c r="D47" s="606" t="s">
        <v>150</v>
      </c>
      <c r="E47" s="607"/>
      <c r="F47" s="607"/>
      <c r="G47" s="607"/>
      <c r="H47" s="608"/>
      <c r="I47" s="596" t="s">
        <v>151</v>
      </c>
      <c r="J47" s="597"/>
      <c r="K47" s="597"/>
      <c r="L47" s="597"/>
      <c r="M47" s="597"/>
      <c r="N47" s="597"/>
      <c r="O47" s="597"/>
      <c r="P47" s="598"/>
      <c r="Q47" s="397" t="s">
        <v>52</v>
      </c>
      <c r="R47" s="591" t="s">
        <v>152</v>
      </c>
      <c r="S47" s="592"/>
      <c r="T47" s="592"/>
      <c r="U47" s="592"/>
      <c r="V47" s="592"/>
      <c r="W47" s="592"/>
      <c r="X47" s="592"/>
      <c r="Y47" s="593"/>
      <c r="Z47" s="379" t="s">
        <v>75</v>
      </c>
      <c r="AA47" s="380" t="s">
        <v>153</v>
      </c>
      <c r="AB47" s="594" t="s">
        <v>154</v>
      </c>
    </row>
    <row r="48" spans="1:29" ht="51" customHeight="1" thickBot="1">
      <c r="A48" s="604"/>
      <c r="B48" s="60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5"/>
    </row>
    <row r="49" spans="1:28" ht="16"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5">
      <c r="A57" s="58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5">
      <c r="A58" s="58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5">
      <c r="A59" s="58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5">
      <c r="A60" s="58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 thickBot="1">
      <c r="A61" s="58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5"/>
  <sheetData>
    <row r="4" spans="2:44" ht="13">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60.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ht="13">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C46"/>
  <sheetViews>
    <sheetView zoomScale="85" zoomScaleNormal="85" workbookViewId="0">
      <selection activeCell="F20" sqref="F20"/>
    </sheetView>
  </sheetViews>
  <sheetFormatPr defaultColWidth="8.81640625" defaultRowHeight="12"/>
  <cols>
    <col min="1" max="1" width="3" style="98" customWidth="1"/>
    <col min="2" max="2" width="14" style="98" bestFit="1" customWidth="1"/>
    <col min="3" max="3" width="12.7265625" style="98" customWidth="1"/>
    <col min="4" max="4" width="11.26953125" style="98" customWidth="1"/>
    <col min="5" max="5" width="12.54296875" style="98" customWidth="1"/>
    <col min="6" max="6" width="13.81640625" style="98" customWidth="1"/>
    <col min="7" max="7" width="13.1796875" style="98" bestFit="1" customWidth="1"/>
    <col min="8" max="11" width="13.1796875" style="98" customWidth="1"/>
    <col min="12" max="14" width="9.453125" style="98" customWidth="1"/>
    <col min="15" max="16" width="13.26953125" style="98" customWidth="1"/>
    <col min="17" max="19" width="10.453125" style="98" customWidth="1"/>
    <col min="20" max="20" width="2" style="98" customWidth="1"/>
    <col min="21" max="21" width="11.81640625" style="99" customWidth="1"/>
    <col min="22" max="22" width="7.54296875" style="99" customWidth="1"/>
    <col min="23" max="23" width="13.54296875" style="99" bestFit="1" customWidth="1"/>
    <col min="24" max="24" width="34.453125" style="99" customWidth="1"/>
    <col min="25" max="25" width="6.1796875" style="99" customWidth="1"/>
    <col min="26" max="26" width="10.81640625" style="99" customWidth="1"/>
    <col min="27" max="27" width="13.54296875" style="99" customWidth="1"/>
    <col min="28" max="28" width="13.7265625" style="99" customWidth="1"/>
    <col min="29" max="29" width="7.54296875" style="99" bestFit="1" customWidth="1"/>
    <col min="30" max="16384" width="8.81640625" style="98"/>
  </cols>
  <sheetData>
    <row r="1" spans="2:29">
      <c r="B1" s="100" t="s">
        <v>66</v>
      </c>
      <c r="C1" s="137" t="s">
        <v>68</v>
      </c>
      <c r="D1" s="137" t="s">
        <v>88</v>
      </c>
      <c r="E1" s="100" t="s">
        <v>23</v>
      </c>
      <c r="F1" s="100" t="s">
        <v>91</v>
      </c>
      <c r="G1" s="100" t="s">
        <v>71</v>
      </c>
      <c r="H1" s="100" t="s">
        <v>83</v>
      </c>
    </row>
    <row r="2" spans="2:29">
      <c r="B2" s="101" t="s">
        <v>64</v>
      </c>
      <c r="C2" s="101" t="s">
        <v>105</v>
      </c>
      <c r="D2" s="138" t="s">
        <v>105</v>
      </c>
      <c r="E2" s="101" t="str">
        <f>'EB1'!Z2</f>
        <v>PJ</v>
      </c>
      <c r="F2" s="101" t="s">
        <v>106</v>
      </c>
      <c r="G2" s="101" t="str">
        <f>'EB1'!Y2</f>
        <v>M€2005</v>
      </c>
      <c r="H2" s="101" t="s">
        <v>84</v>
      </c>
      <c r="U2" s="102" t="s">
        <v>14</v>
      </c>
      <c r="V2" s="102"/>
      <c r="W2" s="103"/>
      <c r="X2" s="103"/>
      <c r="Y2" s="103"/>
      <c r="Z2" s="103"/>
      <c r="AA2" s="103"/>
      <c r="AB2" s="103"/>
      <c r="AC2" s="103"/>
    </row>
    <row r="3" spans="2:29">
      <c r="U3" s="104" t="s">
        <v>7</v>
      </c>
      <c r="V3" s="105" t="s">
        <v>30</v>
      </c>
      <c r="W3" s="104" t="s">
        <v>0</v>
      </c>
      <c r="X3" s="104" t="s">
        <v>3</v>
      </c>
      <c r="Y3" s="104" t="s">
        <v>4</v>
      </c>
      <c r="Z3" s="104" t="s">
        <v>8</v>
      </c>
      <c r="AA3" s="104" t="s">
        <v>9</v>
      </c>
      <c r="AB3" s="104" t="s">
        <v>10</v>
      </c>
      <c r="AC3" s="104" t="s">
        <v>12</v>
      </c>
    </row>
    <row r="4" spans="2:29" ht="24.5" thickBot="1">
      <c r="B4" s="139"/>
      <c r="C4" s="140"/>
      <c r="D4" s="140"/>
      <c r="E4" s="140"/>
      <c r="L4" s="141"/>
      <c r="U4" s="106" t="s">
        <v>37</v>
      </c>
      <c r="V4" s="106" t="s">
        <v>31</v>
      </c>
      <c r="W4" s="106" t="s">
        <v>26</v>
      </c>
      <c r="X4" s="106" t="s">
        <v>27</v>
      </c>
      <c r="Y4" s="106" t="s">
        <v>4</v>
      </c>
      <c r="Z4" s="106" t="s">
        <v>40</v>
      </c>
      <c r="AA4" s="106" t="s">
        <v>41</v>
      </c>
      <c r="AB4" s="106" t="s">
        <v>28</v>
      </c>
      <c r="AC4" s="106" t="s">
        <v>29</v>
      </c>
    </row>
    <row r="5" spans="2:29">
      <c r="B5" s="142"/>
      <c r="C5" s="134"/>
      <c r="D5" s="134"/>
      <c r="E5" s="134"/>
      <c r="L5" s="134"/>
      <c r="U5" s="99" t="s">
        <v>146</v>
      </c>
      <c r="W5" s="99" t="s">
        <v>191</v>
      </c>
      <c r="X5" s="99" t="s">
        <v>668</v>
      </c>
      <c r="Y5" s="99" t="s">
        <v>86</v>
      </c>
    </row>
    <row r="7" spans="2:29">
      <c r="U7" s="143"/>
      <c r="V7" s="143"/>
    </row>
    <row r="8" spans="2:29">
      <c r="D8" s="107" t="s">
        <v>13</v>
      </c>
      <c r="E8" s="107"/>
      <c r="F8" s="107"/>
      <c r="G8" s="144"/>
      <c r="H8" s="144"/>
      <c r="I8" s="144"/>
      <c r="J8" s="144"/>
      <c r="K8" s="144"/>
      <c r="L8" s="144"/>
      <c r="U8" s="102" t="s">
        <v>15</v>
      </c>
      <c r="V8" s="102"/>
      <c r="W8" s="103"/>
      <c r="X8" s="103"/>
      <c r="Y8" s="103"/>
      <c r="Z8" s="103"/>
      <c r="AA8" s="103"/>
      <c r="AB8" s="103"/>
      <c r="AC8" s="103"/>
    </row>
    <row r="9" spans="2:29"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2</v>
      </c>
      <c r="Y9" s="104" t="s">
        <v>16</v>
      </c>
      <c r="Z9" s="104" t="s">
        <v>17</v>
      </c>
      <c r="AA9" s="104" t="s">
        <v>18</v>
      </c>
      <c r="AB9" s="104" t="s">
        <v>19</v>
      </c>
      <c r="AC9" s="104" t="s">
        <v>20</v>
      </c>
    </row>
    <row r="10" spans="2:29" ht="24.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t="s">
        <v>22</v>
      </c>
      <c r="Y10" s="106" t="s">
        <v>23</v>
      </c>
      <c r="Z10" s="106" t="s">
        <v>24</v>
      </c>
      <c r="AA10" s="106" t="s">
        <v>43</v>
      </c>
      <c r="AB10" s="106" t="s">
        <v>42</v>
      </c>
      <c r="AC10" s="106" t="s">
        <v>25</v>
      </c>
    </row>
    <row r="11" spans="2:29" ht="12.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row>
    <row r="12" spans="2:29">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15"/>
      <c r="Y12" s="103" t="str">
        <f>$E$2</f>
        <v>PJ</v>
      </c>
      <c r="Z12" s="103" t="str">
        <f>$F$2</f>
        <v>Pja</v>
      </c>
      <c r="AA12" s="103"/>
      <c r="AB12" s="103" t="s">
        <v>110</v>
      </c>
      <c r="AC12" s="103"/>
    </row>
    <row r="13" spans="2:29">
      <c r="D13" s="98" t="s">
        <v>174</v>
      </c>
      <c r="E13" s="149">
        <f>D31</f>
        <v>0.27639153475427169</v>
      </c>
      <c r="F13" s="149">
        <f>+E13+0.03</f>
        <v>0.30639153475427172</v>
      </c>
      <c r="G13" s="149">
        <f>+F13+0.2</f>
        <v>0.50639153475427179</v>
      </c>
      <c r="H13" s="149"/>
      <c r="I13" s="149"/>
      <c r="J13" s="149"/>
      <c r="K13" s="238"/>
      <c r="L13" s="239"/>
      <c r="M13" s="239"/>
      <c r="N13" s="239"/>
      <c r="X13" s="118"/>
    </row>
    <row r="14" spans="2:29">
      <c r="D14" s="98" t="s">
        <v>93</v>
      </c>
      <c r="E14" s="149">
        <f>D34</f>
        <v>0.32934548299723637</v>
      </c>
      <c r="F14" s="149">
        <f>+E14+0.03</f>
        <v>0.35934548299723634</v>
      </c>
      <c r="G14" s="149">
        <f>+F14+0.2</f>
        <v>0.55934548299723641</v>
      </c>
      <c r="H14" s="149"/>
      <c r="I14" s="149"/>
      <c r="J14" s="149"/>
      <c r="K14" s="238"/>
      <c r="L14" s="239"/>
      <c r="M14" s="239"/>
      <c r="N14" s="239"/>
      <c r="X14" s="118"/>
    </row>
    <row r="15" spans="2:29">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29">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4.5">
      <c r="B25" s="306" t="s">
        <v>295</v>
      </c>
      <c r="C25" s="210" t="s">
        <v>69</v>
      </c>
      <c r="D25" s="210" t="s">
        <v>343</v>
      </c>
      <c r="O25" s="98" t="s">
        <v>864</v>
      </c>
      <c r="P25" s="151">
        <f>Pri_BIO!AB94/Q12</f>
        <v>1.3760881805553553</v>
      </c>
      <c r="W25" s="98"/>
      <c r="X25" s="98"/>
      <c r="Y25" s="98"/>
      <c r="Z25" s="98"/>
      <c r="AA25" s="98"/>
      <c r="AB25" s="98"/>
      <c r="AC25" s="98"/>
    </row>
    <row r="26" spans="2:29" ht="29">
      <c r="B26" s="305" t="s">
        <v>296</v>
      </c>
      <c r="C26" s="304">
        <f>+'EB1'!I59</f>
        <v>-244.4430342689065</v>
      </c>
      <c r="D26" s="310"/>
      <c r="W26" s="98"/>
      <c r="X26" s="98"/>
      <c r="Y26" s="98"/>
      <c r="Z26" s="98"/>
      <c r="AA26" s="98"/>
      <c r="AB26" s="98"/>
      <c r="AC26" s="98"/>
    </row>
    <row r="27" spans="2:29" ht="14.5">
      <c r="B27" s="307" t="s">
        <v>288</v>
      </c>
      <c r="C27" s="309">
        <v>247.93208390124511</v>
      </c>
      <c r="D27" s="310">
        <v>0.96171338948689133</v>
      </c>
    </row>
    <row r="28" spans="2:29" ht="14.5">
      <c r="B28" s="307" t="s">
        <v>289</v>
      </c>
      <c r="C28" s="309">
        <v>9.870382625217438</v>
      </c>
      <c r="D28" s="310">
        <v>3.8286610513108797E-2</v>
      </c>
      <c r="F28" s="98" t="s">
        <v>513</v>
      </c>
      <c r="G28" s="421">
        <f>H29-H29/1.15</f>
        <v>1.7608695652173906E-2</v>
      </c>
      <c r="H28" s="98">
        <v>190</v>
      </c>
      <c r="I28" s="98" t="s">
        <v>511</v>
      </c>
    </row>
    <row r="29" spans="2:29" ht="43.5">
      <c r="B29" s="305" t="s">
        <v>297</v>
      </c>
      <c r="C29" s="304">
        <v>16.832047829690538</v>
      </c>
      <c r="D29" s="310">
        <v>6.5290484053467296E-2</v>
      </c>
      <c r="G29" s="152">
        <v>0.15</v>
      </c>
      <c r="H29" s="98">
        <v>0.13500000000000001</v>
      </c>
    </row>
    <row r="30" spans="2:29" ht="29">
      <c r="B30" s="305" t="s">
        <v>298</v>
      </c>
      <c r="C30" s="304">
        <f>+C31+C34+C35+C36+C38</f>
        <v>239.55495492836576</v>
      </c>
      <c r="D30" s="310"/>
    </row>
    <row r="31" spans="2:29" ht="14.5">
      <c r="B31" s="307" t="s">
        <v>160</v>
      </c>
      <c r="C31" s="309">
        <f>+'EB1'!K59</f>
        <v>66.210961650641394</v>
      </c>
      <c r="D31" s="310">
        <f>+C31/$C$30</f>
        <v>0.27639153475427169</v>
      </c>
    </row>
    <row r="32" spans="2:29" ht="16.5">
      <c r="B32" s="308" t="s">
        <v>344</v>
      </c>
      <c r="C32" s="309">
        <v>51.961135214776625</v>
      </c>
      <c r="D32" s="310">
        <f t="shared" ref="D32:D38" si="1">+C32/$C$30</f>
        <v>0.21690695243734195</v>
      </c>
      <c r="F32" s="406" t="s">
        <v>520</v>
      </c>
      <c r="G32" s="424">
        <v>2015</v>
      </c>
      <c r="H32" s="424">
        <v>2014</v>
      </c>
    </row>
    <row r="33" spans="2:16" ht="16.5">
      <c r="B33" s="308" t="s">
        <v>345</v>
      </c>
      <c r="C33" s="309">
        <f>+C31-C32</f>
        <v>14.249826435864769</v>
      </c>
      <c r="D33" s="310">
        <f t="shared" si="1"/>
        <v>5.9484582316929747E-2</v>
      </c>
      <c r="F33" t="s">
        <v>515</v>
      </c>
      <c r="G33" s="423">
        <v>59200</v>
      </c>
      <c r="H33" s="423">
        <v>55191</v>
      </c>
    </row>
    <row r="34" spans="2:16" ht="14.5">
      <c r="B34" s="307" t="s">
        <v>161</v>
      </c>
      <c r="C34" s="309">
        <f>+'EB1'!L59</f>
        <v>78.89634233526381</v>
      </c>
      <c r="D34" s="310">
        <f t="shared" si="1"/>
        <v>0.32934548299723637</v>
      </c>
      <c r="F34" t="s">
        <v>514</v>
      </c>
      <c r="G34" s="423">
        <v>24279</v>
      </c>
      <c r="H34" s="423">
        <v>17901</v>
      </c>
    </row>
    <row r="35" spans="2:16" ht="14.5">
      <c r="B35" s="307" t="s">
        <v>162</v>
      </c>
      <c r="C35" s="309">
        <f>+'EB1'!M59</f>
        <v>27.040085734953742</v>
      </c>
      <c r="D35" s="310">
        <f t="shared" si="1"/>
        <v>0.11287633663448771</v>
      </c>
      <c r="F35" t="s">
        <v>516</v>
      </c>
      <c r="G35" s="423">
        <v>52798</v>
      </c>
      <c r="H35" s="423">
        <v>48762</v>
      </c>
    </row>
    <row r="36" spans="2:16" ht="14.5">
      <c r="B36" s="307" t="s">
        <v>290</v>
      </c>
      <c r="C36" s="309">
        <f>+'EB1'!N59</f>
        <v>61.655369571911791</v>
      </c>
      <c r="D36" s="310">
        <f t="shared" si="1"/>
        <v>0.25737463702367847</v>
      </c>
      <c r="F36" t="s">
        <v>517</v>
      </c>
      <c r="G36" s="423">
        <v>72109</v>
      </c>
      <c r="H36" s="423">
        <v>71832</v>
      </c>
      <c r="O36" s="98">
        <v>6.5</v>
      </c>
      <c r="P36" s="98" t="s">
        <v>861</v>
      </c>
    </row>
    <row r="37" spans="2:16" ht="14.5">
      <c r="B37" s="308" t="s">
        <v>291</v>
      </c>
      <c r="C37" s="309">
        <f>+C36</f>
        <v>61.655369571911791</v>
      </c>
      <c r="D37" s="310">
        <f t="shared" si="1"/>
        <v>0.25737463702367847</v>
      </c>
      <c r="F37" t="s">
        <v>518</v>
      </c>
      <c r="G37" s="423">
        <v>10</v>
      </c>
      <c r="H37" s="423">
        <v>416</v>
      </c>
      <c r="O37" s="98">
        <v>230000000</v>
      </c>
    </row>
    <row r="38" spans="2:16" ht="16.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796875" defaultRowHeight="12"/>
  <cols>
    <col min="1" max="1" width="9.1796875" style="99"/>
    <col min="2" max="10" width="18.453125" style="99" customWidth="1"/>
    <col min="11" max="11" width="13.81640625" style="99" customWidth="1"/>
    <col min="12" max="12" width="9.1796875" style="99"/>
    <col min="13" max="13" width="12.26953125" style="99" bestFit="1" customWidth="1"/>
    <col min="14" max="14" width="11.7265625" style="99" bestFit="1" customWidth="1"/>
    <col min="15" max="15" width="9.1796875" style="99"/>
    <col min="16" max="16" width="12" style="99" customWidth="1"/>
    <col min="17" max="16384" width="9.1796875" style="99"/>
  </cols>
  <sheetData>
    <row r="4" spans="2:10">
      <c r="B4" s="153" t="s">
        <v>139</v>
      </c>
      <c r="C4" s="98"/>
      <c r="D4" s="98"/>
      <c r="E4" s="98"/>
      <c r="F4" s="98"/>
      <c r="G4" s="98"/>
      <c r="H4" s="98"/>
    </row>
    <row r="5" spans="2:10" ht="12.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796875" defaultRowHeight="10"/>
  <cols>
    <col min="1" max="1" width="44" style="161" customWidth="1"/>
    <col min="2" max="16384" width="9.1796875" style="161"/>
  </cols>
  <sheetData>
    <row r="1" spans="1:141" ht="10.5">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ht="10.5">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ht="10.5">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ht="10.5">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ht="10.5">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ht="10.5">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ht="10.5">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ht="10.5">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ht="10.5">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ht="10.5">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ht="10.5">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ht="10.5">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ht="10.5">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0.5" thickBot="1"/>
    <row r="60" spans="1:141">
      <c r="D60" s="190"/>
      <c r="E60" s="191" t="s">
        <v>63</v>
      </c>
      <c r="F60" s="192" t="s">
        <v>61</v>
      </c>
    </row>
    <row r="61" spans="1:141" ht="10.5">
      <c r="D61" s="193">
        <v>1992</v>
      </c>
      <c r="E61" s="194">
        <v>24.146293995859217</v>
      </c>
      <c r="F61" s="195">
        <v>2.0113199135916342E-2</v>
      </c>
    </row>
    <row r="62" spans="1:141" ht="10.5">
      <c r="D62" s="193">
        <v>1993</v>
      </c>
      <c r="E62" s="194">
        <v>24.708076102641321</v>
      </c>
      <c r="F62" s="195">
        <v>1.5154614161142485E-2</v>
      </c>
    </row>
    <row r="63" spans="1:141" ht="10.5">
      <c r="D63" s="193">
        <v>1994</v>
      </c>
      <c r="E63" s="194">
        <v>32.737875650919129</v>
      </c>
      <c r="F63" s="195">
        <v>1.3454701266870718E-2</v>
      </c>
    </row>
    <row r="64" spans="1:141" ht="10.5">
      <c r="D64" s="193">
        <v>1995</v>
      </c>
      <c r="E64" s="194">
        <v>42.707378001921228</v>
      </c>
      <c r="F64" s="195">
        <v>3.0588051556206352E-3</v>
      </c>
    </row>
    <row r="65" spans="4:6" ht="10.5">
      <c r="D65" s="193">
        <v>1996</v>
      </c>
      <c r="E65" s="194">
        <v>50.897662504002554</v>
      </c>
      <c r="F65" s="195">
        <v>1.8310305236490928E-3</v>
      </c>
    </row>
    <row r="66" spans="4:6" ht="10.5">
      <c r="D66" s="193">
        <v>1997</v>
      </c>
      <c r="E66" s="194">
        <v>40.20284242409047</v>
      </c>
      <c r="F66" s="195">
        <v>4.8504399331909565E-4</v>
      </c>
    </row>
    <row r="67" spans="4:6" ht="10.5">
      <c r="D67" s="193">
        <v>1998</v>
      </c>
      <c r="E67" s="194">
        <v>33.326672475430115</v>
      </c>
      <c r="F67" s="195">
        <v>2.0364661218447129E-3</v>
      </c>
    </row>
    <row r="68" spans="4:6" ht="10.5">
      <c r="D68" s="193">
        <v>1999</v>
      </c>
      <c r="E68" s="194">
        <v>50.618046439999993</v>
      </c>
      <c r="F68" s="195">
        <v>4.8589525E-4</v>
      </c>
    </row>
    <row r="69" spans="4:6" ht="10.5">
      <c r="D69" s="193">
        <v>2000</v>
      </c>
      <c r="E69" s="194">
        <v>48.484375581199998</v>
      </c>
      <c r="F69" s="195">
        <v>0.48402201331</v>
      </c>
    </row>
    <row r="70" spans="4:6" ht="10.5">
      <c r="D70" s="193">
        <v>2001</v>
      </c>
      <c r="E70" s="194">
        <v>56.854357039999996</v>
      </c>
      <c r="F70" s="195">
        <v>0.90543748989999995</v>
      </c>
    </row>
    <row r="71" spans="4:6" ht="10.5">
      <c r="D71" s="193">
        <v>2002</v>
      </c>
      <c r="E71" s="194">
        <v>61.022006229599995</v>
      </c>
      <c r="F71" s="195">
        <v>2.2831855747200001</v>
      </c>
    </row>
    <row r="72" spans="4:6" ht="10.5">
      <c r="D72" s="193">
        <v>2003</v>
      </c>
      <c r="E72" s="194">
        <v>69.462344207200005</v>
      </c>
      <c r="F72" s="195">
        <v>10.133655738890001</v>
      </c>
    </row>
    <row r="73" spans="4:6" ht="10.5">
      <c r="D73" s="193">
        <v>2004</v>
      </c>
      <c r="E73" s="194">
        <v>60.13175694374479</v>
      </c>
      <c r="F73" s="195">
        <v>20.055836867453479</v>
      </c>
    </row>
    <row r="74" spans="4:6" ht="10.5">
      <c r="D74" s="193">
        <v>2005</v>
      </c>
      <c r="E74" s="194">
        <v>73.451554079420006</v>
      </c>
      <c r="F74" s="195">
        <v>24.749554575360005</v>
      </c>
    </row>
    <row r="75" spans="4:6" ht="10.5">
      <c r="D75" s="193">
        <v>2006</v>
      </c>
      <c r="E75" s="194">
        <v>85.237387596918069</v>
      </c>
      <c r="F75" s="195">
        <v>28.07037531237216</v>
      </c>
    </row>
    <row r="76" spans="4:6" ht="10.5">
      <c r="D76" s="193">
        <v>2007</v>
      </c>
      <c r="E76" s="194">
        <v>63.671627580721676</v>
      </c>
      <c r="F76" s="195">
        <v>16.850043390004373</v>
      </c>
    </row>
    <row r="77" spans="4:6" ht="10.5">
      <c r="D77" s="193">
        <v>2008</v>
      </c>
      <c r="E77" s="194">
        <v>78.510382093603837</v>
      </c>
      <c r="F77" s="195">
        <v>13.846891591006699</v>
      </c>
    </row>
    <row r="78" spans="4:6" ht="10.5">
      <c r="D78" s="193">
        <v>2009</v>
      </c>
      <c r="E78" s="194">
        <v>65.14269245763208</v>
      </c>
      <c r="F78" s="195">
        <v>15.708466646340931</v>
      </c>
    </row>
    <row r="79" spans="4:6" ht="10.5">
      <c r="D79" s="193">
        <v>2010</v>
      </c>
      <c r="E79" s="194">
        <v>75.293930008997989</v>
      </c>
      <c r="F79" s="195">
        <v>5.8662003931566788</v>
      </c>
    </row>
    <row r="80" spans="4:6" ht="10.5">
      <c r="D80" s="193">
        <v>2011</v>
      </c>
      <c r="E80" s="194">
        <v>67.683362717557628</v>
      </c>
      <c r="F80" s="195">
        <v>3.9855056969761882</v>
      </c>
    </row>
    <row r="81" spans="4:12" ht="10.5">
      <c r="D81" s="193">
        <v>2012</v>
      </c>
      <c r="E81" s="194">
        <v>69.734578503542338</v>
      </c>
      <c r="F81" s="195">
        <v>4.0374276855975513E-2</v>
      </c>
    </row>
    <row r="82" spans="4:12" ht="10.5">
      <c r="D82" s="193">
        <v>2013</v>
      </c>
      <c r="E82" s="194">
        <v>66.234891931370413</v>
      </c>
      <c r="F82" s="195">
        <v>11.729164251219537</v>
      </c>
    </row>
    <row r="83" spans="4:12" ht="10.5">
      <c r="D83" s="193">
        <v>2014</v>
      </c>
      <c r="E83" s="194">
        <v>54.93634389334121</v>
      </c>
      <c r="F83" s="195">
        <v>10.494588679223131</v>
      </c>
    </row>
    <row r="84" spans="4:12" ht="10.5">
      <c r="D84" s="193">
        <v>2015</v>
      </c>
      <c r="E84" s="194">
        <v>43.056289411757206</v>
      </c>
      <c r="F84" s="195">
        <v>9.6241243299780397</v>
      </c>
    </row>
    <row r="85" spans="4:12" ht="10.5">
      <c r="D85" s="193">
        <v>2016</v>
      </c>
      <c r="E85" s="194">
        <v>37.841341212273221</v>
      </c>
      <c r="F85" s="195">
        <v>10.127605169473844</v>
      </c>
    </row>
    <row r="86" spans="4:12" ht="11" thickBot="1">
      <c r="D86" s="196">
        <v>2017</v>
      </c>
      <c r="E86" s="197">
        <v>36.679406076026069</v>
      </c>
      <c r="F86" s="198">
        <v>10.25795473894979</v>
      </c>
    </row>
    <row r="88" spans="4:12" ht="10.5" thickBot="1"/>
    <row r="89" spans="4:12">
      <c r="D89" s="190"/>
      <c r="E89" s="199" t="s">
        <v>209</v>
      </c>
      <c r="F89" s="199" t="s">
        <v>208</v>
      </c>
      <c r="G89" s="199" t="s">
        <v>207</v>
      </c>
      <c r="H89" s="199" t="s">
        <v>205</v>
      </c>
      <c r="I89" s="199" t="s">
        <v>206</v>
      </c>
      <c r="J89" s="199" t="s">
        <v>202</v>
      </c>
      <c r="K89" s="199" t="s">
        <v>185</v>
      </c>
      <c r="L89" s="200" t="s">
        <v>187</v>
      </c>
    </row>
    <row r="90" spans="4:12" ht="10.5">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ht="10.5">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ht="10.5">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ht="10.5">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ht="10.5">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ht="10.5">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ht="10.5">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ht="10.5">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ht="10.5">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ht="10.5">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ht="10.5">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ht="10.5">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ht="10.5">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ht="10.5">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ht="10.5">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ht="10.5">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ht="10.5">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ht="10.5">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ht="10.5">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ht="10.5">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ht="10.5">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ht="10.5">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ht="10.5">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ht="10.5">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ht="10.5">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1"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0.5"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ht="10.5">
      <c r="D120" s="193">
        <v>1992</v>
      </c>
      <c r="E120" s="204">
        <v>109448</v>
      </c>
      <c r="F120" s="204">
        <v>831702</v>
      </c>
      <c r="G120" s="204">
        <v>349777</v>
      </c>
      <c r="H120" s="204">
        <v>1547466</v>
      </c>
      <c r="I120" s="205">
        <v>179666</v>
      </c>
    </row>
    <row r="121" spans="4:12" ht="10.5">
      <c r="D121" s="193">
        <v>1993</v>
      </c>
      <c r="E121" s="204">
        <v>121368</v>
      </c>
      <c r="F121" s="204">
        <v>1099770</v>
      </c>
      <c r="G121" s="204">
        <v>304680</v>
      </c>
      <c r="H121" s="204">
        <v>1627377</v>
      </c>
      <c r="I121" s="205">
        <v>183613.00000000003</v>
      </c>
    </row>
    <row r="122" spans="4:12" ht="10.5">
      <c r="D122" s="193">
        <v>1994</v>
      </c>
      <c r="E122" s="204">
        <v>162585</v>
      </c>
      <c r="F122" s="204">
        <v>1102782</v>
      </c>
      <c r="G122" s="204">
        <v>373143</v>
      </c>
      <c r="H122" s="204">
        <v>1143184</v>
      </c>
      <c r="I122" s="205">
        <v>251541</v>
      </c>
    </row>
    <row r="123" spans="4:12" ht="10.5">
      <c r="D123" s="193">
        <v>1995</v>
      </c>
      <c r="E123" s="204">
        <v>370033</v>
      </c>
      <c r="F123" s="204">
        <v>1331970</v>
      </c>
      <c r="G123" s="204">
        <v>275080</v>
      </c>
      <c r="H123" s="204">
        <v>1356856</v>
      </c>
      <c r="I123" s="205">
        <v>242882</v>
      </c>
    </row>
    <row r="124" spans="4:12" ht="10.5">
      <c r="D124" s="193">
        <v>1996</v>
      </c>
      <c r="E124" s="204">
        <v>475252</v>
      </c>
      <c r="F124" s="204">
        <v>1387675</v>
      </c>
      <c r="G124" s="204">
        <v>586543</v>
      </c>
      <c r="H124" s="204">
        <v>884808</v>
      </c>
      <c r="I124" s="205">
        <v>276274</v>
      </c>
    </row>
    <row r="125" spans="4:12" ht="10.5">
      <c r="D125" s="193">
        <v>1997</v>
      </c>
      <c r="E125" s="204">
        <v>273304</v>
      </c>
      <c r="F125" s="204">
        <v>1130219</v>
      </c>
      <c r="G125" s="204">
        <v>468234</v>
      </c>
      <c r="H125" s="204">
        <v>1482313.63</v>
      </c>
      <c r="I125" s="205">
        <v>213341.44</v>
      </c>
    </row>
    <row r="126" spans="4:12" ht="10.5">
      <c r="D126" s="193">
        <v>1998</v>
      </c>
      <c r="E126" s="204">
        <v>360142</v>
      </c>
      <c r="F126" s="204">
        <v>814808</v>
      </c>
      <c r="G126" s="204">
        <v>503125</v>
      </c>
      <c r="H126" s="204">
        <v>1241500</v>
      </c>
      <c r="I126" s="205">
        <v>206795</v>
      </c>
    </row>
    <row r="127" spans="4:12" ht="10.5">
      <c r="D127" s="193">
        <v>1999</v>
      </c>
      <c r="E127" s="204">
        <v>443054</v>
      </c>
      <c r="F127" s="204">
        <v>1184154</v>
      </c>
      <c r="G127" s="204">
        <v>494443</v>
      </c>
      <c r="H127" s="204">
        <v>1172162</v>
      </c>
      <c r="I127" s="205">
        <v>211917.00000000003</v>
      </c>
    </row>
    <row r="128" spans="4:12" ht="10.5">
      <c r="D128" s="193">
        <v>2000</v>
      </c>
      <c r="E128" s="204">
        <v>421224</v>
      </c>
      <c r="F128" s="204">
        <v>1273992</v>
      </c>
      <c r="G128" s="204">
        <v>494703</v>
      </c>
      <c r="H128" s="204">
        <v>1054882.0000000002</v>
      </c>
      <c r="I128" s="205">
        <v>212616</v>
      </c>
    </row>
    <row r="129" spans="4:9" ht="10.5">
      <c r="D129" s="193">
        <v>2001</v>
      </c>
      <c r="E129" s="204">
        <v>414385</v>
      </c>
      <c r="F129" s="204">
        <v>1482386</v>
      </c>
      <c r="G129" s="204">
        <v>500886</v>
      </c>
      <c r="H129" s="204">
        <v>1310795</v>
      </c>
      <c r="I129" s="205">
        <v>202944</v>
      </c>
    </row>
    <row r="130" spans="4:9" ht="10.5">
      <c r="D130" s="193">
        <v>2002</v>
      </c>
      <c r="E130" s="204">
        <v>320000</v>
      </c>
      <c r="F130" s="204">
        <v>1948906</v>
      </c>
      <c r="G130" s="204">
        <v>584981</v>
      </c>
      <c r="H130" s="204">
        <v>1386813</v>
      </c>
      <c r="I130" s="205">
        <v>218239.00000000003</v>
      </c>
    </row>
    <row r="131" spans="4:9" ht="10.5">
      <c r="D131" s="193">
        <v>2003</v>
      </c>
      <c r="E131" s="204">
        <v>222000</v>
      </c>
      <c r="F131" s="204">
        <v>2129000</v>
      </c>
      <c r="G131" s="204">
        <v>591201</v>
      </c>
      <c r="H131" s="204">
        <v>1985354</v>
      </c>
      <c r="I131" s="205">
        <v>252336.00000000006</v>
      </c>
    </row>
    <row r="132" spans="4:9" ht="10.5">
      <c r="D132" s="193">
        <v>2004</v>
      </c>
      <c r="E132" s="204">
        <v>255302</v>
      </c>
      <c r="F132" s="204">
        <v>2271311</v>
      </c>
      <c r="G132" s="204">
        <v>471528</v>
      </c>
      <c r="H132" s="204">
        <v>1917824.9999999995</v>
      </c>
      <c r="I132" s="205">
        <v>239427.99999999997</v>
      </c>
    </row>
    <row r="133" spans="4:9" ht="10.5">
      <c r="D133" s="193">
        <v>2005</v>
      </c>
      <c r="E133" s="204">
        <v>345015</v>
      </c>
      <c r="F133" s="204">
        <v>2198389</v>
      </c>
      <c r="G133" s="204">
        <v>409420</v>
      </c>
      <c r="H133" s="204">
        <v>2067891.9999999995</v>
      </c>
      <c r="I133" s="205">
        <v>246445.00000000003</v>
      </c>
    </row>
    <row r="134" spans="4:9" ht="10.5">
      <c r="D134" s="193">
        <v>2006</v>
      </c>
      <c r="E134" s="204">
        <v>500779</v>
      </c>
      <c r="F134" s="204">
        <v>2267870</v>
      </c>
      <c r="G134" s="204">
        <v>506472</v>
      </c>
      <c r="H134" s="204">
        <v>2147044</v>
      </c>
      <c r="I134" s="205">
        <v>251366</v>
      </c>
    </row>
    <row r="135" spans="4:9" ht="10.5">
      <c r="D135" s="193">
        <v>2007</v>
      </c>
      <c r="E135" s="204">
        <v>166247</v>
      </c>
      <c r="F135" s="204">
        <v>1852554</v>
      </c>
      <c r="G135" s="204">
        <v>453471</v>
      </c>
      <c r="H135" s="204">
        <v>2102358.9999999995</v>
      </c>
      <c r="I135" s="205">
        <v>260148</v>
      </c>
    </row>
    <row r="136" spans="4:9" ht="10.5">
      <c r="D136" s="193">
        <v>2008</v>
      </c>
      <c r="E136" s="204">
        <v>480662</v>
      </c>
      <c r="F136" s="204">
        <v>1912683</v>
      </c>
      <c r="G136" s="204">
        <v>286802</v>
      </c>
      <c r="H136" s="204">
        <v>1897968</v>
      </c>
      <c r="I136" s="205">
        <v>253492</v>
      </c>
    </row>
    <row r="137" spans="4:9" ht="10.5">
      <c r="D137" s="193">
        <v>2009</v>
      </c>
      <c r="E137" s="204">
        <v>587613</v>
      </c>
      <c r="F137" s="204">
        <v>1497873.09</v>
      </c>
      <c r="G137" s="204">
        <v>397223</v>
      </c>
      <c r="H137" s="204">
        <v>1820920.557</v>
      </c>
      <c r="I137" s="205">
        <v>259704.12</v>
      </c>
    </row>
    <row r="138" spans="4:9" ht="10.5">
      <c r="D138" s="193">
        <v>2010</v>
      </c>
      <c r="E138" s="204">
        <v>785816</v>
      </c>
      <c r="F138" s="204">
        <v>1811578.41</v>
      </c>
      <c r="G138" s="204">
        <v>394610</v>
      </c>
      <c r="H138" s="204">
        <v>2043597.7499999998</v>
      </c>
      <c r="I138" s="205">
        <v>294934</v>
      </c>
    </row>
    <row r="139" spans="4:9" ht="10.5">
      <c r="D139" s="193">
        <v>2011</v>
      </c>
      <c r="E139" s="204">
        <v>449001</v>
      </c>
      <c r="F139" s="204">
        <v>1881400</v>
      </c>
      <c r="G139" s="204">
        <v>345289</v>
      </c>
      <c r="H139" s="204">
        <v>1948949</v>
      </c>
      <c r="I139" s="205">
        <v>320144</v>
      </c>
    </row>
    <row r="140" spans="4:9" ht="10.5">
      <c r="D140" s="193">
        <v>2012</v>
      </c>
      <c r="E140" s="204">
        <v>115086</v>
      </c>
      <c r="F140" s="204">
        <v>2161260</v>
      </c>
      <c r="G140" s="204">
        <v>349878</v>
      </c>
      <c r="H140" s="204">
        <v>1974082</v>
      </c>
      <c r="I140" s="205">
        <v>325919</v>
      </c>
    </row>
    <row r="141" spans="4:9" ht="10.5">
      <c r="D141" s="193">
        <v>2013</v>
      </c>
      <c r="E141" s="204">
        <v>89900</v>
      </c>
      <c r="F141" s="204">
        <v>2189357.36</v>
      </c>
      <c r="G141" s="204">
        <v>176992</v>
      </c>
      <c r="H141" s="204">
        <v>1878808.5000000002</v>
      </c>
      <c r="I141" s="205">
        <v>290405</v>
      </c>
    </row>
    <row r="142" spans="4:9" ht="10.5">
      <c r="D142" s="193">
        <v>2014</v>
      </c>
      <c r="E142" s="204">
        <v>120754</v>
      </c>
      <c r="F142" s="204">
        <v>1818599</v>
      </c>
      <c r="G142" s="204">
        <v>106922</v>
      </c>
      <c r="H142" s="204">
        <v>1612677</v>
      </c>
      <c r="I142" s="205">
        <v>316692</v>
      </c>
    </row>
    <row r="143" spans="4:9" ht="10.5">
      <c r="D143" s="193">
        <v>2015</v>
      </c>
      <c r="E143" s="204">
        <v>162305</v>
      </c>
      <c r="F143" s="204">
        <v>1237445</v>
      </c>
      <c r="G143" s="204">
        <v>65943</v>
      </c>
      <c r="H143" s="204">
        <v>1599733</v>
      </c>
      <c r="I143" s="205">
        <v>324086</v>
      </c>
    </row>
    <row r="144" spans="4:9" ht="10.5">
      <c r="D144" s="193">
        <v>2016</v>
      </c>
      <c r="E144" s="204">
        <v>191972</v>
      </c>
      <c r="F144" s="204">
        <v>1013416</v>
      </c>
      <c r="G144" s="204">
        <v>0</v>
      </c>
      <c r="H144" s="204">
        <v>1351940</v>
      </c>
      <c r="I144" s="205">
        <v>313035</v>
      </c>
    </row>
    <row r="145" spans="4:16" ht="11" thickBot="1">
      <c r="D145" s="196">
        <v>2017</v>
      </c>
      <c r="E145" s="206">
        <v>156757</v>
      </c>
      <c r="F145" s="206">
        <v>1055369</v>
      </c>
      <c r="G145" s="206">
        <v>0</v>
      </c>
      <c r="H145" s="206">
        <v>1413131</v>
      </c>
      <c r="I145" s="207">
        <v>319487</v>
      </c>
    </row>
    <row r="158" spans="4:16" ht="14">
      <c r="D158" s="211" t="s">
        <v>222</v>
      </c>
      <c r="E158" s="210"/>
      <c r="F158" s="210"/>
      <c r="G158" s="210"/>
      <c r="H158" s="210"/>
      <c r="I158" s="210"/>
      <c r="J158" s="210"/>
      <c r="K158" s="210"/>
      <c r="L158" s="210"/>
      <c r="M158" s="210"/>
      <c r="N158" s="210"/>
      <c r="O158" s="210"/>
      <c r="P158" s="210"/>
    </row>
    <row r="160" spans="4:16" ht="14">
      <c r="D160" s="210"/>
      <c r="E160" s="210"/>
      <c r="F160" s="210"/>
      <c r="G160" s="210"/>
      <c r="H160" s="210"/>
      <c r="I160" s="210"/>
      <c r="J160" s="210"/>
      <c r="K160" s="210"/>
      <c r="L160" s="210"/>
      <c r="M160" s="210"/>
      <c r="N160" s="210"/>
      <c r="O160" s="210"/>
      <c r="P160" s="210"/>
    </row>
    <row r="161" spans="4:16" ht="13">
      <c r="D161" s="622"/>
      <c r="E161" s="625">
        <v>2016</v>
      </c>
      <c r="F161" s="625"/>
      <c r="G161" s="625"/>
      <c r="H161" s="625"/>
      <c r="I161" s="625"/>
      <c r="J161" s="625"/>
      <c r="K161" s="625"/>
      <c r="L161" s="625"/>
      <c r="M161" s="625"/>
      <c r="N161" s="625"/>
      <c r="O161" s="625"/>
      <c r="P161" s="626"/>
    </row>
    <row r="162" spans="4:16" ht="13">
      <c r="D162" s="623"/>
      <c r="E162" s="627" t="s">
        <v>223</v>
      </c>
      <c r="F162" s="625"/>
      <c r="G162" s="625"/>
      <c r="H162" s="625"/>
      <c r="I162" s="625"/>
      <c r="J162" s="626"/>
      <c r="K162" s="627" t="s">
        <v>224</v>
      </c>
      <c r="L162" s="625"/>
      <c r="M162" s="625"/>
      <c r="N162" s="625"/>
      <c r="O162" s="628" t="s">
        <v>225</v>
      </c>
      <c r="P162" s="629"/>
    </row>
    <row r="163" spans="4:16" ht="12.5">
      <c r="D163" s="623"/>
      <c r="E163" s="632" t="s">
        <v>198</v>
      </c>
      <c r="F163" s="633"/>
      <c r="G163" s="632" t="s">
        <v>226</v>
      </c>
      <c r="H163" s="633"/>
      <c r="I163" s="634" t="s">
        <v>158</v>
      </c>
      <c r="J163" s="633"/>
      <c r="K163" s="632" t="s">
        <v>216</v>
      </c>
      <c r="L163" s="634"/>
      <c r="M163" s="632" t="s">
        <v>215</v>
      </c>
      <c r="N163" s="634"/>
      <c r="O163" s="630"/>
      <c r="P163" s="631"/>
    </row>
    <row r="164" spans="4:16" ht="25">
      <c r="D164" s="62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4.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4.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796875" defaultRowHeight="13"/>
  <cols>
    <col min="1" max="1" width="40.1796875" style="244" customWidth="1"/>
    <col min="2" max="45" width="10.1796875" style="244" customWidth="1"/>
    <col min="46" max="16384" width="9.179687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796875" defaultRowHeight="13"/>
  <cols>
    <col min="1" max="1" width="61.81640625" style="244" customWidth="1"/>
    <col min="2" max="16384" width="9.179687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4.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4.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4.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4.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4.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4.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4.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4.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4.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4.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4.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4.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4.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4.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4.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4.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4.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4.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4.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4.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4.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4.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4.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4.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4.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4.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4.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4.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4.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4.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4.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4.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4.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4.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4.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4.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4.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4.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4.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4.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4.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4.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4.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4.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4.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4.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4.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4.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4.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4.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796875" defaultRowHeight="13"/>
  <cols>
    <col min="1" max="1" width="33" style="244" customWidth="1"/>
    <col min="2" max="17" width="9.1796875" style="244"/>
    <col min="18" max="44" width="11.1796875" style="244" customWidth="1"/>
    <col min="45" max="16384" width="9.179687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4.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4.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4.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4.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4.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4.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4.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4.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4.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4.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4.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L34" sqref="L34"/>
    </sheetView>
  </sheetViews>
  <sheetFormatPr defaultRowHeight="12.5"/>
  <cols>
    <col min="1" max="1" width="1.81640625" customWidth="1"/>
    <col min="2" max="2" width="7.7265625" customWidth="1"/>
    <col min="3" max="3" width="6.81640625" customWidth="1"/>
    <col min="13" max="13" width="6.7265625" customWidth="1"/>
    <col min="14" max="14" width="26.1796875" customWidth="1"/>
    <col min="15" max="15" width="22.54296875" customWidth="1"/>
    <col min="18" max="18" width="2.7265625" customWidth="1"/>
  </cols>
  <sheetData>
    <row r="3" spans="2:18" ht="18">
      <c r="B3" s="18" t="s">
        <v>114</v>
      </c>
    </row>
    <row r="5" spans="2:18" ht="18">
      <c r="D5" s="609" t="s">
        <v>120</v>
      </c>
      <c r="E5" s="610"/>
      <c r="F5" s="610"/>
      <c r="G5" s="610"/>
      <c r="H5" s="610"/>
      <c r="I5" s="610"/>
      <c r="J5" s="610"/>
      <c r="K5" s="610"/>
      <c r="L5" s="610"/>
      <c r="M5" s="610"/>
      <c r="N5" s="610"/>
      <c r="O5" s="610"/>
      <c r="P5" s="610"/>
      <c r="Q5" s="611"/>
      <c r="R5" s="23"/>
    </row>
    <row r="6" spans="2:18" ht="12.75" customHeight="1">
      <c r="D6" s="19" t="s">
        <v>116</v>
      </c>
      <c r="E6" s="19"/>
      <c r="F6" s="19"/>
      <c r="G6" s="19"/>
      <c r="H6" s="19"/>
      <c r="I6" s="19"/>
      <c r="M6" s="19" t="s">
        <v>115</v>
      </c>
      <c r="N6" s="19"/>
      <c r="O6" s="19"/>
      <c r="P6" s="19"/>
      <c r="Q6" s="10"/>
    </row>
    <row r="7" spans="2:18" ht="13">
      <c r="M7" s="19" t="s">
        <v>117</v>
      </c>
      <c r="N7" s="19"/>
      <c r="O7" s="19"/>
      <c r="P7" s="19"/>
    </row>
    <row r="44" spans="14:16" ht="13">
      <c r="N44" s="10"/>
      <c r="O44" s="10"/>
      <c r="P44" s="10"/>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44" sqref="A44"/>
    </sheetView>
  </sheetViews>
  <sheetFormatPr defaultColWidth="9.1796875" defaultRowHeight="12"/>
  <cols>
    <col min="1" max="1" width="2" style="99" bestFit="1" customWidth="1"/>
    <col min="2" max="5" width="14.453125" style="99" customWidth="1"/>
    <col min="6" max="6" width="17.453125" style="99" customWidth="1"/>
    <col min="7" max="7" width="14.453125" style="99" customWidth="1"/>
    <col min="8" max="8" width="15" style="99" customWidth="1"/>
    <col min="9" max="9" width="13.7265625" style="99" customWidth="1"/>
    <col min="10" max="10" width="14.453125" style="99" bestFit="1" customWidth="1"/>
    <col min="11" max="11" width="12.26953125" style="99" bestFit="1" customWidth="1"/>
    <col min="12" max="12" width="12.81640625" style="99" customWidth="1"/>
    <col min="13" max="13" width="12.26953125" style="99" bestFit="1" customWidth="1"/>
    <col min="14" max="14" width="14.54296875" style="99" customWidth="1"/>
    <col min="15" max="15" width="15.1796875" style="99" customWidth="1"/>
    <col min="16" max="16" width="8.26953125" style="99" customWidth="1"/>
    <col min="17" max="16384" width="9.1796875" style="99"/>
  </cols>
  <sheetData>
    <row r="1" spans="2:10">
      <c r="B1" s="100" t="s">
        <v>66</v>
      </c>
      <c r="C1" s="100" t="s">
        <v>67</v>
      </c>
      <c r="D1" s="100" t="s">
        <v>68</v>
      </c>
      <c r="E1" s="100" t="s">
        <v>70</v>
      </c>
      <c r="F1" s="100" t="s">
        <v>71</v>
      </c>
    </row>
    <row r="2" spans="2:10">
      <c r="B2" s="158" t="str">
        <f>'EB1'!H31</f>
        <v>Coal</v>
      </c>
      <c r="C2" s="158" t="str">
        <f>'EB1'!F32</f>
        <v>COA</v>
      </c>
      <c r="D2" s="158" t="str">
        <f>'EB1'!F31</f>
        <v>Bituminous &amp; Sub-bitum.</v>
      </c>
      <c r="E2" s="158" t="str">
        <f>'EB1'!F27</f>
        <v>PJ</v>
      </c>
      <c r="F2" s="158" t="str">
        <f>'EB1'!D27</f>
        <v>Milion NZD (2015)</v>
      </c>
    </row>
    <row r="3" spans="2:10">
      <c r="B3" s="158"/>
      <c r="C3" s="158" t="str">
        <f>'EB1'!G32</f>
        <v>COL</v>
      </c>
      <c r="D3" s="158" t="str">
        <f>'EB1'!G31</f>
        <v>Lignite</v>
      </c>
      <c r="E3" s="158" t="str">
        <f>'EB1'!F27</f>
        <v>PJ</v>
      </c>
      <c r="F3" s="158"/>
    </row>
    <row r="5" spans="2:10" ht="12.75" customHeight="1"/>
    <row r="6" spans="2:10" ht="12.75" customHeight="1">
      <c r="B6" s="102" t="s">
        <v>14</v>
      </c>
      <c r="C6" s="102"/>
      <c r="D6" s="103"/>
      <c r="E6" s="103"/>
      <c r="F6" s="103"/>
      <c r="G6" s="103"/>
      <c r="H6" s="103"/>
      <c r="I6" s="103"/>
      <c r="J6" s="103"/>
    </row>
    <row r="7" spans="2:10">
      <c r="B7" s="104" t="s">
        <v>7</v>
      </c>
      <c r="C7" s="105" t="s">
        <v>30</v>
      </c>
      <c r="D7" s="104" t="s">
        <v>0</v>
      </c>
      <c r="E7" s="104" t="s">
        <v>3</v>
      </c>
      <c r="F7" s="104" t="s">
        <v>4</v>
      </c>
      <c r="G7" s="104" t="s">
        <v>8</v>
      </c>
      <c r="H7" s="104" t="s">
        <v>9</v>
      </c>
      <c r="I7" s="104" t="s">
        <v>10</v>
      </c>
      <c r="J7" s="104" t="s">
        <v>12</v>
      </c>
    </row>
    <row r="8" spans="2:10" ht="24.5" thickBot="1">
      <c r="B8" s="106" t="s">
        <v>37</v>
      </c>
      <c r="C8" s="106" t="s">
        <v>31</v>
      </c>
      <c r="D8" s="106" t="s">
        <v>26</v>
      </c>
      <c r="E8" s="106" t="s">
        <v>27</v>
      </c>
      <c r="F8" s="106" t="s">
        <v>4</v>
      </c>
      <c r="G8" s="106" t="s">
        <v>40</v>
      </c>
      <c r="H8" s="106" t="s">
        <v>41</v>
      </c>
      <c r="I8" s="106" t="s">
        <v>28</v>
      </c>
      <c r="J8" s="106" t="s">
        <v>29</v>
      </c>
    </row>
    <row r="9" spans="2:10">
      <c r="B9" s="103" t="s">
        <v>65</v>
      </c>
      <c r="C9" s="103"/>
      <c r="D9" s="103" t="str">
        <f>C2</f>
        <v>COA</v>
      </c>
      <c r="E9" s="103" t="s">
        <v>534</v>
      </c>
      <c r="F9" s="103" t="str">
        <f>$E$2</f>
        <v>PJ</v>
      </c>
      <c r="G9" s="103"/>
      <c r="H9" s="103" t="s">
        <v>192</v>
      </c>
      <c r="I9" s="103"/>
      <c r="J9" s="103"/>
    </row>
    <row r="10" spans="2:10">
      <c r="B10" s="103" t="s">
        <v>65</v>
      </c>
      <c r="C10" s="103"/>
      <c r="D10" s="103" t="s">
        <v>173</v>
      </c>
      <c r="E10" s="103" t="s">
        <v>535</v>
      </c>
      <c r="F10" s="103" t="str">
        <f>$E$2</f>
        <v>PJ</v>
      </c>
      <c r="G10" s="103"/>
      <c r="H10" s="103" t="s">
        <v>192</v>
      </c>
      <c r="I10" s="103"/>
      <c r="J10" s="103"/>
    </row>
    <row r="12" spans="2:10" ht="15.75" customHeight="1">
      <c r="B12" s="102" t="s">
        <v>15</v>
      </c>
      <c r="C12" s="102"/>
      <c r="D12" s="103"/>
      <c r="E12" s="103"/>
      <c r="F12" s="103"/>
      <c r="G12" s="103"/>
      <c r="H12" s="103"/>
      <c r="I12" s="103"/>
      <c r="J12" s="103"/>
    </row>
    <row r="13" spans="2:10" ht="15.75" customHeight="1">
      <c r="B13" s="104" t="s">
        <v>11</v>
      </c>
      <c r="C13" s="105" t="s">
        <v>30</v>
      </c>
      <c r="D13" s="104" t="s">
        <v>1</v>
      </c>
      <c r="E13" s="104" t="s">
        <v>2</v>
      </c>
      <c r="F13" s="104" t="s">
        <v>16</v>
      </c>
      <c r="G13" s="104" t="s">
        <v>17</v>
      </c>
      <c r="H13" s="104" t="s">
        <v>18</v>
      </c>
      <c r="I13" s="104" t="s">
        <v>19</v>
      </c>
      <c r="J13" s="104" t="s">
        <v>20</v>
      </c>
    </row>
    <row r="14" spans="2:10" ht="15.75" customHeight="1" thickBot="1">
      <c r="B14" s="106" t="s">
        <v>38</v>
      </c>
      <c r="C14" s="106" t="s">
        <v>31</v>
      </c>
      <c r="D14" s="106" t="s">
        <v>21</v>
      </c>
      <c r="E14" s="106" t="s">
        <v>22</v>
      </c>
      <c r="F14" s="106" t="s">
        <v>23</v>
      </c>
      <c r="G14" s="106" t="s">
        <v>24</v>
      </c>
      <c r="H14" s="106" t="s">
        <v>43</v>
      </c>
      <c r="I14" s="106" t="s">
        <v>42</v>
      </c>
      <c r="J14" s="106" t="s">
        <v>25</v>
      </c>
    </row>
    <row r="15" spans="2:10" ht="15.75" customHeight="1" thickBot="1">
      <c r="B15" s="106" t="s">
        <v>73</v>
      </c>
      <c r="C15" s="113"/>
      <c r="D15" s="113"/>
      <c r="E15" s="113"/>
      <c r="F15" s="113"/>
      <c r="G15" s="113"/>
      <c r="H15" s="113"/>
      <c r="I15" s="113"/>
      <c r="J15" s="113"/>
    </row>
    <row r="16" spans="2:10" ht="15.75" customHeight="1">
      <c r="B16" s="103" t="str">
        <f>'EB1'!$B$5</f>
        <v>MIN</v>
      </c>
      <c r="C16" s="103"/>
      <c r="D16" s="103" t="str">
        <f>$B$16&amp;$C$2&amp;1</f>
        <v>MINCOA1</v>
      </c>
      <c r="E16" s="115"/>
      <c r="F16" s="103" t="str">
        <f t="shared" ref="F16:F21" si="0">$E$2</f>
        <v>PJ</v>
      </c>
      <c r="G16" s="103" t="str">
        <f t="shared" ref="G16:G21" si="1">$E$2&amp;"a"</f>
        <v>PJa</v>
      </c>
      <c r="H16" s="103"/>
      <c r="I16" s="103"/>
      <c r="J16" s="103"/>
    </row>
    <row r="17" spans="2:16" ht="15.75" customHeight="1">
      <c r="B17" s="103"/>
      <c r="C17" s="103"/>
      <c r="D17" s="103" t="str">
        <f>$B$16&amp;$C$3&amp;1</f>
        <v>MINCOL1</v>
      </c>
      <c r="E17" s="115"/>
      <c r="F17" s="103" t="str">
        <f t="shared" si="0"/>
        <v>PJ</v>
      </c>
      <c r="G17" s="103" t="str">
        <f t="shared" si="1"/>
        <v>PJa</v>
      </c>
      <c r="H17" s="103"/>
      <c r="I17" s="103"/>
      <c r="J17" s="103"/>
    </row>
    <row r="18" spans="2:16" ht="15.75" customHeight="1">
      <c r="B18" s="103" t="str">
        <f>'EB1'!$B$6</f>
        <v>IMP</v>
      </c>
      <c r="C18" s="103"/>
      <c r="D18" s="103" t="str">
        <f>$B$18&amp;$C$2&amp;1</f>
        <v>IMPCOA1</v>
      </c>
      <c r="E18" s="115"/>
      <c r="F18" s="103" t="str">
        <f t="shared" si="0"/>
        <v>PJ</v>
      </c>
      <c r="G18" s="103" t="str">
        <f t="shared" si="1"/>
        <v>PJa</v>
      </c>
      <c r="H18" s="103"/>
      <c r="I18" s="103"/>
      <c r="J18" s="103"/>
    </row>
    <row r="19" spans="2:16">
      <c r="B19" s="103"/>
      <c r="C19" s="103"/>
      <c r="D19" s="103" t="str">
        <f>$B$18&amp;$C$3&amp;1</f>
        <v>IMPCOL1</v>
      </c>
      <c r="E19" s="115"/>
      <c r="F19" s="103" t="str">
        <f t="shared" si="0"/>
        <v>PJ</v>
      </c>
      <c r="G19" s="103" t="str">
        <f t="shared" si="1"/>
        <v>PJa</v>
      </c>
      <c r="H19" s="103"/>
      <c r="I19" s="103"/>
      <c r="J19" s="103"/>
    </row>
    <row r="20" spans="2:16">
      <c r="B20" s="103" t="str">
        <f>'EB1'!B7</f>
        <v>EXP</v>
      </c>
      <c r="C20" s="103"/>
      <c r="D20" s="103" t="str">
        <f>$B$20&amp;$C$2&amp;1</f>
        <v>EXPCOA1</v>
      </c>
      <c r="E20" s="115"/>
      <c r="F20" s="103" t="str">
        <f t="shared" si="0"/>
        <v>PJ</v>
      </c>
      <c r="G20" s="103" t="str">
        <f t="shared" si="1"/>
        <v>PJa</v>
      </c>
      <c r="H20" s="103"/>
      <c r="I20" s="103"/>
      <c r="J20" s="103"/>
    </row>
    <row r="21" spans="2:16">
      <c r="C21" s="103"/>
      <c r="D21" s="99" t="str">
        <f>B20&amp;D10&amp;1</f>
        <v>EXPCOL1</v>
      </c>
      <c r="E21" s="115"/>
      <c r="F21" s="103" t="str">
        <f t="shared" si="0"/>
        <v>PJ</v>
      </c>
      <c r="G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24.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2">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2"/>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2"/>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2"/>
        <v>IMPCOL1</v>
      </c>
      <c r="D36" s="99" t="s">
        <v>173</v>
      </c>
      <c r="E36" s="116"/>
      <c r="F36" s="243">
        <v>6.98</v>
      </c>
      <c r="G36" s="243">
        <v>6.98</v>
      </c>
      <c r="H36" s="243">
        <v>6.6</v>
      </c>
      <c r="I36" s="243">
        <v>6.4</v>
      </c>
      <c r="J36" s="243">
        <v>6.5</v>
      </c>
      <c r="K36" s="243">
        <v>6.28</v>
      </c>
      <c r="L36" s="243">
        <v>6.28</v>
      </c>
      <c r="M36" s="243">
        <v>6.28</v>
      </c>
      <c r="N36" s="241">
        <v>0</v>
      </c>
    </row>
    <row r="37" spans="2:16">
      <c r="B37" s="99" t="str">
        <f t="shared" si="2"/>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2"/>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abSelected="1" topLeftCell="A12" zoomScale="85" zoomScaleNormal="85" workbookViewId="0">
      <selection activeCell="M38" sqref="M38"/>
    </sheetView>
  </sheetViews>
  <sheetFormatPr defaultColWidth="9.1796875" defaultRowHeight="12"/>
  <cols>
    <col min="1" max="1" width="2" style="99" bestFit="1" customWidth="1"/>
    <col min="2" max="2" width="13.26953125" style="99" bestFit="1" customWidth="1"/>
    <col min="3" max="3" width="11.26953125" style="99" bestFit="1" customWidth="1"/>
    <col min="4" max="4" width="11.7265625" style="99" customWidth="1"/>
    <col min="5" max="5" width="14.54296875" style="99" bestFit="1" customWidth="1"/>
    <col min="6" max="6" width="17.54296875" style="99" customWidth="1"/>
    <col min="7" max="7" width="14.26953125" style="99" customWidth="1"/>
    <col min="8" max="8" width="2" style="99" bestFit="1" customWidth="1"/>
    <col min="9" max="9" width="13.7265625" style="99" customWidth="1"/>
    <col min="10" max="10" width="17.1796875" style="99" customWidth="1"/>
    <col min="11" max="11" width="13.7265625" style="99" bestFit="1" customWidth="1"/>
    <col min="12" max="12" width="35" style="99" bestFit="1" customWidth="1"/>
    <col min="13" max="13" width="10.453125" style="99" customWidth="1"/>
    <col min="14" max="14" width="11.54296875" style="99" customWidth="1"/>
    <col min="15" max="15" width="13" style="99" customWidth="1"/>
    <col min="16" max="16" width="15.1796875" style="99" customWidth="1"/>
    <col min="17" max="17" width="7.54296875" style="99" bestFit="1" customWidth="1"/>
    <col min="18" max="24" width="9.1796875" style="99"/>
    <col min="25" max="25" width="19.54296875" style="99" bestFit="1" customWidth="1"/>
    <col min="26" max="16384" width="9.1796875" style="99"/>
  </cols>
  <sheetData>
    <row r="1" spans="2:17">
      <c r="B1" s="100" t="s">
        <v>66</v>
      </c>
      <c r="C1" s="100" t="s">
        <v>67</v>
      </c>
      <c r="D1" s="100" t="s">
        <v>68</v>
      </c>
      <c r="E1" s="100" t="s">
        <v>70</v>
      </c>
      <c r="F1" s="100" t="s">
        <v>71</v>
      </c>
    </row>
    <row r="2" spans="2:17">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17">
      <c r="I3" s="104" t="s">
        <v>7</v>
      </c>
      <c r="J3" s="105" t="s">
        <v>30</v>
      </c>
      <c r="K3" s="104" t="s">
        <v>0</v>
      </c>
      <c r="L3" s="104" t="s">
        <v>3</v>
      </c>
      <c r="M3" s="104" t="s">
        <v>4</v>
      </c>
      <c r="N3" s="104" t="s">
        <v>8</v>
      </c>
      <c r="O3" s="104" t="s">
        <v>9</v>
      </c>
      <c r="P3" s="104" t="s">
        <v>10</v>
      </c>
      <c r="Q3" s="104" t="s">
        <v>12</v>
      </c>
    </row>
    <row r="4" spans="2:17" ht="24.5" thickBot="1">
      <c r="I4" s="106" t="s">
        <v>37</v>
      </c>
      <c r="J4" s="106" t="s">
        <v>31</v>
      </c>
      <c r="K4" s="106" t="s">
        <v>26</v>
      </c>
      <c r="L4" s="106" t="s">
        <v>27</v>
      </c>
      <c r="M4" s="106" t="s">
        <v>4</v>
      </c>
      <c r="N4" s="106" t="s">
        <v>40</v>
      </c>
      <c r="O4" s="106" t="s">
        <v>41</v>
      </c>
      <c r="P4" s="106" t="s">
        <v>28</v>
      </c>
      <c r="Q4" s="106" t="s">
        <v>29</v>
      </c>
    </row>
    <row r="5" spans="2:17">
      <c r="I5" s="103" t="s">
        <v>65</v>
      </c>
      <c r="J5" s="103"/>
      <c r="K5" s="103" t="str">
        <f>C2</f>
        <v>NGA</v>
      </c>
      <c r="L5" s="103"/>
      <c r="M5" s="103" t="str">
        <f>$E$2</f>
        <v>PJ</v>
      </c>
      <c r="N5" s="103"/>
      <c r="O5" s="103"/>
      <c r="P5" s="103"/>
      <c r="Q5" s="103"/>
    </row>
    <row r="6" spans="2:17">
      <c r="I6" s="103" t="s">
        <v>65</v>
      </c>
      <c r="J6" s="103"/>
      <c r="K6" s="103" t="s">
        <v>538</v>
      </c>
      <c r="L6" s="103"/>
      <c r="M6" s="103" t="str">
        <f>$E$2</f>
        <v>PJ</v>
      </c>
    </row>
    <row r="7" spans="2:17">
      <c r="I7" s="99" t="s">
        <v>146</v>
      </c>
      <c r="K7" s="99" t="s">
        <v>856</v>
      </c>
      <c r="L7" s="99" t="s">
        <v>857</v>
      </c>
      <c r="M7" s="99" t="s">
        <v>86</v>
      </c>
    </row>
    <row r="9" spans="2:17">
      <c r="D9" s="107"/>
      <c r="F9" s="107"/>
      <c r="I9" s="102" t="s">
        <v>15</v>
      </c>
      <c r="J9" s="102"/>
      <c r="K9" s="103"/>
      <c r="L9" s="103"/>
      <c r="M9" s="103"/>
      <c r="N9" s="103"/>
      <c r="O9" s="103"/>
      <c r="P9" s="103"/>
      <c r="Q9" s="103"/>
    </row>
    <row r="10" spans="2:17">
      <c r="B10" s="108"/>
      <c r="C10" s="109"/>
      <c r="D10" s="108"/>
      <c r="E10" s="110"/>
      <c r="F10" s="110"/>
      <c r="G10" s="110"/>
      <c r="I10" s="104" t="s">
        <v>11</v>
      </c>
      <c r="J10" s="105" t="s">
        <v>30</v>
      </c>
      <c r="K10" s="104" t="s">
        <v>1</v>
      </c>
      <c r="L10" s="104" t="s">
        <v>2</v>
      </c>
      <c r="M10" s="104" t="s">
        <v>16</v>
      </c>
      <c r="N10" s="104" t="s">
        <v>17</v>
      </c>
      <c r="O10" s="104" t="s">
        <v>18</v>
      </c>
      <c r="P10" s="104" t="s">
        <v>19</v>
      </c>
      <c r="Q10" s="104" t="s">
        <v>20</v>
      </c>
    </row>
    <row r="11" spans="2:17" ht="24.5" thickBot="1">
      <c r="B11" s="111"/>
      <c r="C11" s="111"/>
      <c r="D11" s="111"/>
      <c r="E11" s="111"/>
      <c r="F11" s="111"/>
      <c r="G11" s="111"/>
      <c r="I11" s="106" t="s">
        <v>38</v>
      </c>
      <c r="J11" s="106" t="s">
        <v>31</v>
      </c>
      <c r="K11" s="106" t="s">
        <v>21</v>
      </c>
      <c r="L11" s="106" t="s">
        <v>22</v>
      </c>
      <c r="M11" s="106" t="s">
        <v>23</v>
      </c>
      <c r="N11" s="106" t="s">
        <v>24</v>
      </c>
      <c r="O11" s="106" t="s">
        <v>43</v>
      </c>
      <c r="P11" s="106" t="s">
        <v>42</v>
      </c>
      <c r="Q11" s="106" t="s">
        <v>25</v>
      </c>
    </row>
    <row r="12" spans="2:17" ht="12.5" thickBot="1">
      <c r="B12" s="111"/>
      <c r="C12" s="112"/>
      <c r="D12" s="112"/>
      <c r="E12" s="112"/>
      <c r="F12" s="112"/>
      <c r="G12" s="112"/>
      <c r="I12" s="106" t="s">
        <v>73</v>
      </c>
      <c r="J12" s="113"/>
      <c r="K12" s="113"/>
      <c r="L12" s="113"/>
      <c r="M12" s="113"/>
      <c r="N12" s="113"/>
      <c r="O12" s="113"/>
      <c r="P12" s="113"/>
      <c r="Q12" s="113"/>
    </row>
    <row r="13" spans="2:17">
      <c r="E13" s="114"/>
      <c r="F13" s="243"/>
      <c r="G13" s="114"/>
      <c r="I13" s="103" t="str">
        <f>'EB1'!$B$5</f>
        <v>MIN</v>
      </c>
      <c r="J13" s="103"/>
      <c r="K13" s="99" t="s">
        <v>356</v>
      </c>
      <c r="L13" s="115" t="s">
        <v>639</v>
      </c>
      <c r="M13" s="103" t="str">
        <f>$E$2</f>
        <v>PJ</v>
      </c>
      <c r="N13" s="103" t="str">
        <f>$E$2&amp;"a"</f>
        <v>PJa</v>
      </c>
      <c r="O13" s="103"/>
      <c r="P13" s="103"/>
      <c r="Q13" s="103"/>
    </row>
    <row r="14" spans="2:17">
      <c r="E14" s="116"/>
      <c r="F14" s="243"/>
      <c r="G14" s="114"/>
      <c r="I14" s="103" t="str">
        <f>+I13</f>
        <v>MIN</v>
      </c>
      <c r="K14" s="99" t="s">
        <v>614</v>
      </c>
      <c r="L14" s="115" t="s">
        <v>640</v>
      </c>
      <c r="M14" s="103" t="str">
        <f t="shared" ref="M14:M16" si="0">$E$2</f>
        <v>PJ</v>
      </c>
      <c r="N14" s="103" t="str">
        <f t="shared" ref="N14:N16" si="1">$E$2&amp;"a"</f>
        <v>PJa</v>
      </c>
      <c r="O14" s="103"/>
      <c r="P14" s="103"/>
      <c r="Q14" s="103"/>
    </row>
    <row r="15" spans="2:17">
      <c r="E15" s="116"/>
      <c r="F15" s="243"/>
      <c r="G15" s="114"/>
      <c r="I15" s="103" t="str">
        <f t="shared" ref="I15:I16" si="2">+I14</f>
        <v>MIN</v>
      </c>
      <c r="K15" s="99" t="s">
        <v>615</v>
      </c>
      <c r="L15" s="115" t="s">
        <v>641</v>
      </c>
      <c r="M15" s="103" t="str">
        <f t="shared" si="0"/>
        <v>PJ</v>
      </c>
      <c r="N15" s="103" t="str">
        <f t="shared" si="1"/>
        <v>PJa</v>
      </c>
      <c r="O15" s="103"/>
      <c r="P15" s="103"/>
      <c r="Q15" s="103"/>
    </row>
    <row r="16" spans="2:17">
      <c r="F16" s="117"/>
      <c r="I16" s="103" t="str">
        <f t="shared" si="2"/>
        <v>MIN</v>
      </c>
      <c r="K16" s="99" t="s">
        <v>616</v>
      </c>
      <c r="L16" s="115" t="s">
        <v>642</v>
      </c>
      <c r="M16" s="103" t="str">
        <f t="shared" si="0"/>
        <v>PJ</v>
      </c>
      <c r="N16" s="103" t="str">
        <f t="shared" si="1"/>
        <v>PJa</v>
      </c>
    </row>
    <row r="17" spans="2:26">
      <c r="F17" s="117"/>
      <c r="I17" s="103" t="str">
        <f>'EB1'!$B$6</f>
        <v>IMP</v>
      </c>
      <c r="J17" s="103"/>
      <c r="K17" s="103" t="str">
        <f>$I$17&amp;$K$6&amp;1</f>
        <v>IMPLNG1</v>
      </c>
      <c r="L17" s="115"/>
      <c r="M17" s="103" t="str">
        <f>$E$2</f>
        <v>PJ</v>
      </c>
      <c r="N17" s="103" t="str">
        <f>$E$2&amp;"a"</f>
        <v>PJa</v>
      </c>
    </row>
    <row r="18" spans="2:26">
      <c r="F18" s="117"/>
      <c r="I18" s="103" t="str">
        <f>'EB1'!B7</f>
        <v>EXP</v>
      </c>
      <c r="J18" s="103"/>
      <c r="K18" s="103" t="str">
        <f>$I$18&amp;$C$2&amp;1</f>
        <v>EXPNGA1</v>
      </c>
      <c r="L18" s="115"/>
      <c r="M18" s="103" t="str">
        <f>$E$2</f>
        <v>PJ</v>
      </c>
      <c r="N18" s="103" t="str">
        <f>$E$2&amp;"a"</f>
        <v>PJa</v>
      </c>
    </row>
    <row r="19" spans="2:26">
      <c r="F19" s="117"/>
      <c r="I19" s="103" t="str">
        <f>+I18</f>
        <v>EXP</v>
      </c>
      <c r="K19" s="99" t="s">
        <v>525</v>
      </c>
      <c r="M19" s="103" t="str">
        <f t="shared" ref="M19" si="3">$E$2</f>
        <v>PJ</v>
      </c>
      <c r="N19" s="103" t="str">
        <f t="shared" ref="N19" si="4">$E$2&amp;"a"</f>
        <v>PJa</v>
      </c>
    </row>
    <row r="20" spans="2:26">
      <c r="F20" s="117"/>
      <c r="I20" s="103" t="s">
        <v>87</v>
      </c>
      <c r="K20" s="99" t="s">
        <v>701</v>
      </c>
      <c r="L20" s="99" t="s">
        <v>536</v>
      </c>
      <c r="M20" s="103" t="s">
        <v>69</v>
      </c>
      <c r="N20" s="103" t="s">
        <v>537</v>
      </c>
    </row>
    <row r="21" spans="2:26">
      <c r="F21" s="117"/>
      <c r="I21" s="103"/>
    </row>
    <row r="23" spans="2:26">
      <c r="K23" s="311" t="s">
        <v>13</v>
      </c>
      <c r="M23" s="311"/>
    </row>
    <row r="24" spans="2:26" ht="24">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5">N27</f>
        <v>5</v>
      </c>
      <c r="P27" s="243">
        <f t="shared" si="5"/>
        <v>5</v>
      </c>
      <c r="Q27" s="243">
        <f t="shared" si="5"/>
        <v>5</v>
      </c>
      <c r="R27" s="243">
        <f t="shared" si="5"/>
        <v>5</v>
      </c>
      <c r="S27" s="243">
        <f t="shared" si="5"/>
        <v>5</v>
      </c>
      <c r="T27" s="243">
        <f t="shared" si="5"/>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6">M28</f>
        <v>8</v>
      </c>
      <c r="O28" s="243">
        <f t="shared" si="6"/>
        <v>8</v>
      </c>
      <c r="P28" s="243">
        <f t="shared" si="6"/>
        <v>8</v>
      </c>
      <c r="Q28" s="243">
        <f t="shared" si="6"/>
        <v>8</v>
      </c>
      <c r="R28" s="243">
        <f t="shared" si="6"/>
        <v>8</v>
      </c>
      <c r="S28" s="243">
        <f t="shared" si="6"/>
        <v>8</v>
      </c>
      <c r="T28" s="243">
        <f t="shared" si="6"/>
        <v>8</v>
      </c>
      <c r="U28" s="114">
        <v>0</v>
      </c>
      <c r="V28" s="99">
        <v>0</v>
      </c>
      <c r="W28" s="99">
        <v>100</v>
      </c>
      <c r="Y28" s="99">
        <v>20</v>
      </c>
    </row>
    <row r="29" spans="2:26">
      <c r="I29" s="99" t="s">
        <v>615</v>
      </c>
      <c r="K29" s="99" t="s">
        <v>178</v>
      </c>
      <c r="L29" s="114">
        <f>+J63</f>
        <v>1529.590852475199</v>
      </c>
      <c r="M29" s="243">
        <f>+K63</f>
        <v>7</v>
      </c>
      <c r="N29" s="243">
        <f t="shared" si="6"/>
        <v>7</v>
      </c>
      <c r="O29" s="243">
        <f t="shared" si="6"/>
        <v>7</v>
      </c>
      <c r="P29" s="243">
        <f t="shared" si="6"/>
        <v>7</v>
      </c>
      <c r="Q29" s="243">
        <f t="shared" si="6"/>
        <v>7</v>
      </c>
      <c r="R29" s="243">
        <f t="shared" si="6"/>
        <v>7</v>
      </c>
      <c r="S29" s="243">
        <f t="shared" si="6"/>
        <v>7</v>
      </c>
      <c r="T29" s="243">
        <f t="shared" si="6"/>
        <v>7</v>
      </c>
      <c r="U29" s="114">
        <v>0</v>
      </c>
      <c r="V29" s="99">
        <v>0</v>
      </c>
      <c r="W29" s="99">
        <v>100</v>
      </c>
      <c r="Y29" s="99">
        <v>6.6666666699999997</v>
      </c>
    </row>
    <row r="30" spans="2:26">
      <c r="I30" s="99" t="s">
        <v>616</v>
      </c>
      <c r="K30" s="99" t="s">
        <v>178</v>
      </c>
      <c r="L30" s="114">
        <f>+J65</f>
        <v>700</v>
      </c>
      <c r="M30" s="243">
        <v>10</v>
      </c>
      <c r="N30" s="243">
        <f t="shared" si="6"/>
        <v>10</v>
      </c>
      <c r="O30" s="243">
        <f t="shared" si="6"/>
        <v>10</v>
      </c>
      <c r="P30" s="243">
        <f t="shared" si="6"/>
        <v>10</v>
      </c>
      <c r="Q30" s="243">
        <f t="shared" si="6"/>
        <v>10</v>
      </c>
      <c r="R30" s="243">
        <f t="shared" si="6"/>
        <v>10</v>
      </c>
      <c r="S30" s="243">
        <f t="shared" si="6"/>
        <v>10</v>
      </c>
      <c r="T30" s="243">
        <f t="shared" si="6"/>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5" thickBot="1">
      <c r="J47" s="442" t="s">
        <v>498</v>
      </c>
      <c r="K47" s="442" t="s">
        <v>499</v>
      </c>
      <c r="L47" s="442" t="s">
        <v>69</v>
      </c>
    </row>
    <row r="48" spans="9:19" ht="15.5" thickBot="1">
      <c r="I48" s="408" t="s">
        <v>501</v>
      </c>
      <c r="J48" s="99">
        <v>67696.3</v>
      </c>
      <c r="K48" s="99">
        <v>2390.6999999999998</v>
      </c>
      <c r="L48" s="99">
        <v>2696.8</v>
      </c>
    </row>
    <row r="49" spans="9:14" ht="15.5" thickBot="1">
      <c r="I49" s="408" t="s">
        <v>502</v>
      </c>
      <c r="J49" s="99">
        <v>67152.800000000003</v>
      </c>
      <c r="K49" s="99">
        <v>2371.5</v>
      </c>
      <c r="L49" s="99">
        <v>2457.9</v>
      </c>
    </row>
    <row r="50" spans="9:14" ht="14">
      <c r="I50" s="407"/>
    </row>
    <row r="51" spans="9:14" ht="17">
      <c r="I51" s="407" t="s">
        <v>503</v>
      </c>
    </row>
    <row r="52" spans="9:14" ht="17">
      <c r="I52" s="407" t="s">
        <v>504</v>
      </c>
    </row>
    <row r="53" spans="9:14" ht="14">
      <c r="I53" s="407" t="s">
        <v>505</v>
      </c>
    </row>
    <row r="57" spans="9:14" ht="12.5" thickBot="1">
      <c r="I57" s="99" t="s">
        <v>629</v>
      </c>
    </row>
    <row r="58" spans="9:14" ht="56.5" thickBot="1">
      <c r="I58" s="468" t="s">
        <v>617</v>
      </c>
      <c r="J58" s="472" t="s">
        <v>618</v>
      </c>
      <c r="K58" s="469" t="s">
        <v>619</v>
      </c>
      <c r="L58" s="469" t="s">
        <v>620</v>
      </c>
      <c r="M58" s="469" t="s">
        <v>621</v>
      </c>
      <c r="N58" s="472" t="s">
        <v>622</v>
      </c>
    </row>
    <row r="59" spans="9:14" ht="14">
      <c r="I59" s="612" t="s">
        <v>623</v>
      </c>
      <c r="J59" s="615">
        <v>2049.628052306</v>
      </c>
      <c r="K59" s="614">
        <v>5</v>
      </c>
      <c r="L59" s="612" t="s">
        <v>624</v>
      </c>
      <c r="M59" s="470">
        <v>0.2</v>
      </c>
      <c r="N59" s="473">
        <v>5.2</v>
      </c>
    </row>
    <row r="60" spans="9:14" ht="14.5" thickBot="1">
      <c r="I60" s="613"/>
      <c r="J60" s="616"/>
      <c r="K60" s="613"/>
      <c r="L60" s="613"/>
      <c r="M60" s="471">
        <v>0.5</v>
      </c>
      <c r="N60" s="474">
        <v>5.5</v>
      </c>
    </row>
    <row r="61" spans="9:14" ht="14">
      <c r="I61" s="612" t="s">
        <v>625</v>
      </c>
      <c r="J61" s="615">
        <v>784.19056873637919</v>
      </c>
      <c r="K61" s="614">
        <v>8</v>
      </c>
      <c r="L61" s="612" t="s">
        <v>626</v>
      </c>
      <c r="M61" s="470">
        <v>0.6</v>
      </c>
      <c r="N61" s="473">
        <v>8.6</v>
      </c>
    </row>
    <row r="62" spans="9:14" ht="14.5" thickBot="1">
      <c r="I62" s="613"/>
      <c r="J62" s="616"/>
      <c r="K62" s="613"/>
      <c r="L62" s="613"/>
      <c r="M62" s="471">
        <v>1.5</v>
      </c>
      <c r="N62" s="474">
        <v>9.5</v>
      </c>
    </row>
    <row r="63" spans="9:14" ht="14">
      <c r="I63" s="612" t="s">
        <v>627</v>
      </c>
      <c r="J63" s="615">
        <v>1529.590852475199</v>
      </c>
      <c r="K63" s="614">
        <v>7</v>
      </c>
      <c r="L63" s="612" t="s">
        <v>624</v>
      </c>
      <c r="M63" s="470">
        <v>0.2</v>
      </c>
      <c r="N63" s="473">
        <v>7.2</v>
      </c>
    </row>
    <row r="64" spans="9:14" ht="14.5" thickBot="1">
      <c r="I64" s="613"/>
      <c r="J64" s="616"/>
      <c r="K64" s="613"/>
      <c r="L64" s="613"/>
      <c r="M64" s="471">
        <v>0.5</v>
      </c>
      <c r="N64" s="474">
        <v>7.5</v>
      </c>
    </row>
    <row r="65" spans="9:14" ht="14">
      <c r="I65" s="612" t="s">
        <v>628</v>
      </c>
      <c r="J65" s="617">
        <v>700</v>
      </c>
      <c r="K65" s="614">
        <v>8</v>
      </c>
      <c r="L65" s="612" t="s">
        <v>624</v>
      </c>
      <c r="M65" s="470">
        <v>0.2</v>
      </c>
      <c r="N65" s="473">
        <v>8.1999999999999993</v>
      </c>
    </row>
    <row r="66" spans="9:14" ht="14.5" thickBot="1">
      <c r="I66" s="613"/>
      <c r="J66" s="618"/>
      <c r="K66" s="613"/>
      <c r="L66" s="613"/>
      <c r="M66" s="471">
        <v>0.5</v>
      </c>
      <c r="N66" s="474">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E32" zoomScaleNormal="100" workbookViewId="0">
      <selection activeCell="L42" sqref="L42"/>
    </sheetView>
  </sheetViews>
  <sheetFormatPr defaultColWidth="9.1796875" defaultRowHeight="13.5" customHeight="1"/>
  <cols>
    <col min="1" max="1" width="2" style="119" bestFit="1" customWidth="1"/>
    <col min="2" max="5" width="15" style="119" customWidth="1"/>
    <col min="6" max="6" width="24.54296875" style="119" customWidth="1"/>
    <col min="7" max="7" width="12.453125" style="119" customWidth="1"/>
    <col min="8" max="8" width="2" style="119" bestFit="1" customWidth="1"/>
    <col min="9" max="9" width="13.7265625" style="119" customWidth="1"/>
    <col min="10" max="10" width="7.1796875" style="119" customWidth="1"/>
    <col min="11" max="11" width="11.453125" style="119" bestFit="1" customWidth="1"/>
    <col min="12" max="12" width="42.1796875" style="119" customWidth="1"/>
    <col min="13" max="13" width="6.54296875" style="119" customWidth="1"/>
    <col min="14" max="14" width="11.54296875" style="119" customWidth="1"/>
    <col min="15" max="15" width="13" style="119" customWidth="1"/>
    <col min="16" max="16" width="15.1796875" style="119" customWidth="1"/>
    <col min="17" max="17" width="7.54296875" style="119" bestFit="1" customWidth="1"/>
    <col min="18" max="16384" width="9.1796875" style="119"/>
  </cols>
  <sheetData>
    <row r="1" spans="2:20" ht="13.5" customHeight="1">
      <c r="B1" s="120" t="s">
        <v>66</v>
      </c>
      <c r="C1" s="120" t="s">
        <v>67</v>
      </c>
      <c r="D1" s="120" t="s">
        <v>68</v>
      </c>
      <c r="E1" s="120" t="s">
        <v>70</v>
      </c>
      <c r="F1" s="120" t="s">
        <v>71</v>
      </c>
    </row>
    <row r="2" spans="2:20"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0" ht="13.5" customHeight="1">
      <c r="B3" s="121"/>
      <c r="C3" s="121" t="s">
        <v>95</v>
      </c>
      <c r="D3" s="121" t="s">
        <v>95</v>
      </c>
      <c r="E3" s="121" t="str">
        <f>'EB1'!$F$27</f>
        <v>PJ</v>
      </c>
      <c r="F3" s="121"/>
      <c r="I3" s="124" t="s">
        <v>7</v>
      </c>
      <c r="J3" s="125" t="s">
        <v>30</v>
      </c>
      <c r="K3" s="124" t="s">
        <v>0</v>
      </c>
      <c r="L3" s="124" t="s">
        <v>3</v>
      </c>
      <c r="M3" s="124" t="s">
        <v>4</v>
      </c>
      <c r="N3" s="124" t="s">
        <v>8</v>
      </c>
      <c r="O3" s="124" t="s">
        <v>9</v>
      </c>
      <c r="P3" s="124" t="s">
        <v>10</v>
      </c>
      <c r="Q3" s="124" t="s">
        <v>12</v>
      </c>
    </row>
    <row r="4" spans="2:20" ht="13.5" customHeight="1" thickBot="1">
      <c r="B4" s="121"/>
      <c r="C4" s="121" t="s">
        <v>174</v>
      </c>
      <c r="D4" s="121" t="s">
        <v>160</v>
      </c>
      <c r="E4" s="121" t="str">
        <f>'EB1'!$F$27</f>
        <v>PJ</v>
      </c>
      <c r="F4" s="121"/>
      <c r="I4" s="126" t="s">
        <v>37</v>
      </c>
      <c r="J4" s="126" t="s">
        <v>31</v>
      </c>
      <c r="K4" s="126" t="s">
        <v>26</v>
      </c>
      <c r="L4" s="126" t="s">
        <v>27</v>
      </c>
      <c r="M4" s="126" t="s">
        <v>4</v>
      </c>
      <c r="N4" s="126" t="s">
        <v>40</v>
      </c>
      <c r="O4" s="126" t="s">
        <v>41</v>
      </c>
      <c r="P4" s="126" t="s">
        <v>28</v>
      </c>
      <c r="Q4" s="126" t="s">
        <v>29</v>
      </c>
    </row>
    <row r="5" spans="2:20" ht="13.5" customHeight="1">
      <c r="B5" s="121"/>
      <c r="C5" s="121" t="s">
        <v>93</v>
      </c>
      <c r="D5" s="121" t="s">
        <v>161</v>
      </c>
      <c r="E5" s="121" t="str">
        <f>'EB1'!$F$27</f>
        <v>PJ</v>
      </c>
      <c r="F5" s="121"/>
      <c r="I5" s="123" t="s">
        <v>65</v>
      </c>
      <c r="J5" s="103"/>
      <c r="K5" s="123" t="s">
        <v>643</v>
      </c>
      <c r="L5" s="123" t="s">
        <v>645</v>
      </c>
      <c r="M5" s="123" t="str">
        <f>'EB1'!$F$27</f>
        <v>PJ</v>
      </c>
      <c r="N5" s="123"/>
      <c r="O5" s="123"/>
      <c r="P5" s="123"/>
      <c r="Q5" s="123"/>
      <c r="T5" s="123" t="s">
        <v>457</v>
      </c>
    </row>
    <row r="6" spans="2:20" ht="13.5" customHeight="1">
      <c r="B6" s="121"/>
      <c r="C6" s="121" t="s">
        <v>175</v>
      </c>
      <c r="D6" s="121" t="s">
        <v>162</v>
      </c>
      <c r="E6" s="121" t="str">
        <f>'EB1'!$F$27</f>
        <v>PJ</v>
      </c>
      <c r="F6" s="121"/>
      <c r="I6" s="123"/>
      <c r="J6" s="103"/>
      <c r="K6" s="123" t="s">
        <v>644</v>
      </c>
      <c r="L6" s="123" t="s">
        <v>646</v>
      </c>
      <c r="M6" s="123" t="str">
        <f>'EB1'!$F$27</f>
        <v>PJ</v>
      </c>
      <c r="N6" s="123"/>
      <c r="O6" s="123"/>
      <c r="P6" s="123"/>
      <c r="Q6" s="123"/>
      <c r="T6" s="123"/>
    </row>
    <row r="7" spans="2:20" ht="13.5" customHeight="1">
      <c r="B7" s="121"/>
      <c r="C7" s="121" t="s">
        <v>444</v>
      </c>
      <c r="D7" s="121" t="s">
        <v>163</v>
      </c>
      <c r="E7" s="121" t="str">
        <f>'EB1'!$F$27</f>
        <v>PJ</v>
      </c>
      <c r="F7" s="121"/>
      <c r="I7" s="123"/>
      <c r="J7" s="103"/>
      <c r="K7" s="123" t="str">
        <f>'EB1'!J32</f>
        <v>LPG</v>
      </c>
      <c r="L7" s="123" t="str">
        <f>"Oil products - "&amp;T7</f>
        <v>Oil products - LPG</v>
      </c>
      <c r="M7" s="123" t="str">
        <f>'EB1'!$F$27</f>
        <v>PJ</v>
      </c>
      <c r="N7" s="123"/>
      <c r="O7" s="123"/>
      <c r="P7" s="123"/>
      <c r="Q7" s="123"/>
      <c r="T7" s="123" t="s">
        <v>95</v>
      </c>
    </row>
    <row r="8" spans="2:20" ht="13.5" customHeight="1">
      <c r="B8" s="121"/>
      <c r="C8" s="121" t="s">
        <v>177</v>
      </c>
      <c r="D8" s="121" t="s">
        <v>164</v>
      </c>
      <c r="E8" s="121" t="str">
        <f>'EB1'!$F$27</f>
        <v>PJ</v>
      </c>
      <c r="F8" s="121"/>
      <c r="I8" s="123"/>
      <c r="J8" s="103"/>
      <c r="K8" s="123" t="str">
        <f>'EB1'!K32</f>
        <v>PET</v>
      </c>
      <c r="L8" s="123" t="str">
        <f t="shared" ref="L8:L12" si="0">"Oil products - "&amp;T8</f>
        <v>Oil products - Petroleum</v>
      </c>
      <c r="M8" s="123" t="str">
        <f>'EB1'!$F$27</f>
        <v>PJ</v>
      </c>
      <c r="N8" s="123"/>
      <c r="O8" s="123"/>
      <c r="P8" s="123"/>
      <c r="Q8" s="123"/>
      <c r="T8" s="123" t="s">
        <v>508</v>
      </c>
    </row>
    <row r="9" spans="2:20" ht="13.5" customHeight="1">
      <c r="I9" s="123"/>
      <c r="J9" s="103"/>
      <c r="K9" s="123" t="str">
        <f>'EB1'!L32</f>
        <v>DSL</v>
      </c>
      <c r="L9" s="123" t="str">
        <f t="shared" si="0"/>
        <v>Oil products - Diesel oil</v>
      </c>
      <c r="M9" s="123" t="str">
        <f>'EB1'!$F$27</f>
        <v>PJ</v>
      </c>
      <c r="N9" s="123"/>
      <c r="O9" s="123"/>
      <c r="P9" s="123"/>
      <c r="Q9" s="123"/>
      <c r="T9" s="123" t="s">
        <v>111</v>
      </c>
    </row>
    <row r="10" spans="2:20" ht="13.5" customHeight="1">
      <c r="I10" s="123"/>
      <c r="J10" s="103"/>
      <c r="K10" s="123" t="str">
        <f>'EB1'!M32</f>
        <v>FOL</v>
      </c>
      <c r="L10" s="123" t="str">
        <f t="shared" si="0"/>
        <v>Oil products - Light fuel oil</v>
      </c>
      <c r="M10" s="123" t="str">
        <f>'EB1'!$F$27</f>
        <v>PJ</v>
      </c>
      <c r="N10" s="123"/>
      <c r="O10" s="123"/>
      <c r="P10" s="123"/>
      <c r="Q10" s="123"/>
      <c r="T10" s="123" t="s">
        <v>465</v>
      </c>
    </row>
    <row r="11" spans="2:20" ht="13.5" customHeight="1">
      <c r="I11" s="123"/>
      <c r="J11" s="103"/>
      <c r="K11" s="123" t="s">
        <v>444</v>
      </c>
      <c r="L11" s="123" t="str">
        <f t="shared" si="0"/>
        <v>Oil products - Jet kerosen</v>
      </c>
      <c r="M11" s="123" t="str">
        <f>'EB1'!$F$27</f>
        <v>PJ</v>
      </c>
      <c r="N11" s="123"/>
      <c r="O11" s="123"/>
      <c r="P11" s="123"/>
      <c r="Q11" s="123"/>
      <c r="T11" s="123" t="s">
        <v>509</v>
      </c>
    </row>
    <row r="12" spans="2:20" ht="13.5" customHeight="1">
      <c r="J12" s="103"/>
      <c r="K12" s="123" t="str">
        <f>'EB1'!O32</f>
        <v>OTH</v>
      </c>
      <c r="L12" s="123" t="str">
        <f t="shared" si="0"/>
        <v>Oil products - Other fuels from refinery</v>
      </c>
      <c r="M12" s="123" t="str">
        <f>'EB1'!$F$27</f>
        <v>PJ</v>
      </c>
      <c r="T12" s="119" t="s">
        <v>510</v>
      </c>
    </row>
    <row r="13" spans="2:20" ht="13.5" customHeight="1">
      <c r="K13" s="123"/>
    </row>
    <row r="14" spans="2:20" ht="13.5" customHeight="1">
      <c r="D14" s="127"/>
      <c r="F14" s="127"/>
      <c r="K14" s="123"/>
    </row>
    <row r="15" spans="2:20" ht="13.5" customHeight="1">
      <c r="B15" s="128"/>
      <c r="C15" s="129"/>
      <c r="D15" s="128"/>
      <c r="E15" s="130"/>
      <c r="F15" s="130"/>
      <c r="I15" s="122" t="s">
        <v>15</v>
      </c>
      <c r="J15" s="122"/>
      <c r="K15" s="123"/>
      <c r="L15" s="123"/>
      <c r="M15" s="123"/>
      <c r="N15" s="123"/>
      <c r="O15" s="123"/>
      <c r="P15" s="123"/>
      <c r="Q15" s="123"/>
    </row>
    <row r="16" spans="2:20" ht="21.75" customHeight="1" thickBot="1">
      <c r="B16" s="131"/>
      <c r="C16" s="131"/>
      <c r="D16" s="131"/>
      <c r="E16" s="131"/>
      <c r="F16" s="131"/>
      <c r="I16" s="124" t="s">
        <v>11</v>
      </c>
      <c r="J16" s="125" t="s">
        <v>30</v>
      </c>
      <c r="K16" s="124" t="s">
        <v>1</v>
      </c>
      <c r="L16" s="124" t="s">
        <v>2</v>
      </c>
      <c r="M16" s="124" t="s">
        <v>16</v>
      </c>
      <c r="N16" s="124" t="s">
        <v>17</v>
      </c>
      <c r="O16" s="124" t="s">
        <v>18</v>
      </c>
      <c r="P16" s="124" t="s">
        <v>19</v>
      </c>
      <c r="Q16" s="124" t="s">
        <v>20</v>
      </c>
    </row>
    <row r="17" spans="2:17" ht="13.5" customHeight="1" thickBot="1">
      <c r="B17" s="131"/>
      <c r="C17" s="131"/>
      <c r="D17" s="131"/>
      <c r="E17" s="131"/>
      <c r="F17" s="131"/>
      <c r="I17" s="126" t="s">
        <v>38</v>
      </c>
      <c r="J17" s="126" t="s">
        <v>31</v>
      </c>
      <c r="K17" s="126" t="s">
        <v>21</v>
      </c>
      <c r="L17" s="126" t="s">
        <v>22</v>
      </c>
      <c r="M17" s="126" t="s">
        <v>23</v>
      </c>
      <c r="N17" s="126" t="s">
        <v>24</v>
      </c>
      <c r="O17" s="126" t="s">
        <v>43</v>
      </c>
      <c r="P17" s="126" t="s">
        <v>42</v>
      </c>
      <c r="Q17" s="126" t="s">
        <v>25</v>
      </c>
    </row>
    <row r="18" spans="2:17" ht="13.5" customHeight="1" thickBot="1">
      <c r="D18" s="123"/>
      <c r="E18" s="132"/>
      <c r="F18" s="133"/>
      <c r="I18" s="126" t="s">
        <v>73</v>
      </c>
      <c r="J18" s="126"/>
      <c r="K18" s="126"/>
      <c r="L18" s="126"/>
      <c r="M18" s="126"/>
      <c r="N18" s="126"/>
      <c r="O18" s="126"/>
      <c r="P18" s="126"/>
      <c r="Q18" s="126"/>
    </row>
    <row r="19" spans="2:17" ht="13.5" customHeight="1">
      <c r="D19" s="123"/>
      <c r="E19" s="132"/>
      <c r="F19" s="133"/>
      <c r="I19" s="123" t="str">
        <f>'EB1'!$B$5</f>
        <v>MIN</v>
      </c>
      <c r="J19" s="103"/>
      <c r="K19" s="123" t="str">
        <f>$I$19&amp;$C2&amp;1</f>
        <v>MINOIL1</v>
      </c>
      <c r="L19" s="123"/>
      <c r="M19" s="123" t="str">
        <f>$E$2</f>
        <v>PJ</v>
      </c>
      <c r="N19" s="123" t="str">
        <f>$E$2&amp;"a"</f>
        <v>PJa</v>
      </c>
      <c r="O19" s="123"/>
      <c r="P19" s="123"/>
      <c r="Q19" s="123"/>
    </row>
    <row r="20" spans="2:17" ht="13.5" customHeight="1">
      <c r="D20" s="123"/>
      <c r="E20" s="132"/>
      <c r="F20" s="133"/>
      <c r="I20" s="123"/>
      <c r="J20" s="103"/>
      <c r="K20" s="123" t="str">
        <f>$I$19&amp;$C3&amp;1</f>
        <v>MINLPG1</v>
      </c>
      <c r="L20" s="123"/>
      <c r="M20" s="123" t="str">
        <f t="shared" ref="M20" si="1">$E$2</f>
        <v>PJ</v>
      </c>
      <c r="N20" s="123" t="str">
        <f t="shared" ref="N20" si="2">$E$2&amp;"a"</f>
        <v>PJa</v>
      </c>
      <c r="O20" s="123"/>
      <c r="P20" s="123"/>
      <c r="Q20" s="123"/>
    </row>
    <row r="21" spans="2:17" ht="13.5" customHeight="1">
      <c r="D21" s="123"/>
      <c r="E21" s="132"/>
      <c r="F21" s="133"/>
      <c r="I21" s="123" t="str">
        <f>'EB1'!$B$6</f>
        <v>IMP</v>
      </c>
      <c r="J21" s="103"/>
      <c r="K21" s="123" t="str">
        <f t="shared" ref="K21:K27" si="3">$I$21&amp;$C2&amp;1</f>
        <v>IMPOIL1</v>
      </c>
      <c r="L21" s="123"/>
      <c r="M21" s="123" t="str">
        <f>$E$2</f>
        <v>PJ</v>
      </c>
      <c r="N21" s="123" t="str">
        <f>$E$2&amp;"a"</f>
        <v>PJa</v>
      </c>
      <c r="O21" s="123"/>
      <c r="P21" s="123"/>
      <c r="Q21" s="123"/>
    </row>
    <row r="22" spans="2:17" ht="13.5" customHeight="1">
      <c r="D22" s="123"/>
      <c r="E22" s="132"/>
      <c r="F22" s="133"/>
      <c r="I22" s="123"/>
      <c r="J22" s="103"/>
      <c r="K22" s="123" t="str">
        <f t="shared" si="3"/>
        <v>IMPLPG1</v>
      </c>
      <c r="L22" s="123"/>
      <c r="M22" s="123" t="str">
        <f>$E$2</f>
        <v>PJ</v>
      </c>
      <c r="N22" s="123" t="str">
        <f>$E$2&amp;"a"</f>
        <v>PJa</v>
      </c>
      <c r="O22" s="123"/>
      <c r="P22" s="123"/>
      <c r="Q22" s="123"/>
    </row>
    <row r="23" spans="2:17" ht="13.5" customHeight="1">
      <c r="D23" s="123"/>
      <c r="E23" s="132"/>
      <c r="F23" s="133"/>
      <c r="I23" s="123"/>
      <c r="J23" s="103"/>
      <c r="K23" s="123" t="str">
        <f t="shared" si="3"/>
        <v>IMPPET1</v>
      </c>
      <c r="L23" s="123"/>
      <c r="M23" s="123" t="str">
        <f t="shared" ref="M23:M27" si="4">$E$2</f>
        <v>PJ</v>
      </c>
      <c r="N23" s="123" t="str">
        <f t="shared" ref="N23:N27" si="5">$E$2&amp;"a"</f>
        <v>PJa</v>
      </c>
      <c r="O23" s="123"/>
      <c r="P23" s="123"/>
      <c r="Q23" s="123"/>
    </row>
    <row r="24" spans="2:17" ht="13.5" customHeight="1">
      <c r="D24" s="123"/>
      <c r="E24" s="132"/>
      <c r="F24" s="133"/>
      <c r="I24" s="123"/>
      <c r="J24" s="103"/>
      <c r="K24" s="123" t="str">
        <f t="shared" si="3"/>
        <v>IMPDSL1</v>
      </c>
      <c r="L24" s="123"/>
      <c r="M24" s="123" t="str">
        <f t="shared" si="4"/>
        <v>PJ</v>
      </c>
      <c r="N24" s="123" t="str">
        <f t="shared" si="5"/>
        <v>PJa</v>
      </c>
      <c r="O24" s="123"/>
      <c r="P24" s="123"/>
      <c r="Q24" s="123"/>
    </row>
    <row r="25" spans="2:17" ht="13.5" customHeight="1">
      <c r="D25" s="123"/>
      <c r="E25" s="132"/>
      <c r="F25" s="133"/>
      <c r="I25" s="123"/>
      <c r="J25" s="103"/>
      <c r="K25" s="123" t="str">
        <f t="shared" si="3"/>
        <v>IMPFOL1</v>
      </c>
      <c r="L25" s="123"/>
      <c r="M25" s="123" t="str">
        <f t="shared" si="4"/>
        <v>PJ</v>
      </c>
      <c r="N25" s="123" t="str">
        <f t="shared" si="5"/>
        <v>PJa</v>
      </c>
      <c r="O25" s="123"/>
      <c r="P25" s="123"/>
      <c r="Q25" s="123"/>
    </row>
    <row r="26" spans="2:17" ht="13.5" customHeight="1">
      <c r="D26" s="123"/>
      <c r="E26" s="132"/>
      <c r="F26" s="133"/>
      <c r="I26" s="123"/>
      <c r="J26" s="103"/>
      <c r="K26" s="123" t="str">
        <f t="shared" si="3"/>
        <v>IMPJET1</v>
      </c>
      <c r="L26" s="123"/>
      <c r="M26" s="123" t="str">
        <f t="shared" si="4"/>
        <v>PJ</v>
      </c>
      <c r="N26" s="123" t="str">
        <f t="shared" si="5"/>
        <v>PJa</v>
      </c>
      <c r="O26" s="123"/>
      <c r="P26" s="123"/>
      <c r="Q26" s="123"/>
    </row>
    <row r="27" spans="2:17" ht="13.5" customHeight="1">
      <c r="D27" s="123"/>
      <c r="E27" s="132"/>
      <c r="F27" s="133"/>
      <c r="I27" s="123"/>
      <c r="J27" s="103"/>
      <c r="K27" s="123" t="str">
        <f t="shared" si="3"/>
        <v>IMPOTH1</v>
      </c>
      <c r="L27" s="123"/>
      <c r="M27" s="123" t="str">
        <f t="shared" si="4"/>
        <v>PJ</v>
      </c>
      <c r="N27" s="123" t="str">
        <f t="shared" si="5"/>
        <v>PJa</v>
      </c>
      <c r="O27" s="123"/>
      <c r="P27" s="123"/>
      <c r="Q27" s="123"/>
    </row>
    <row r="28" spans="2:17" ht="13.5" customHeight="1">
      <c r="D28" s="123"/>
      <c r="E28" s="132"/>
      <c r="F28" s="133"/>
      <c r="I28" s="123"/>
      <c r="J28" s="103"/>
      <c r="K28" s="123" t="s">
        <v>853</v>
      </c>
      <c r="L28" s="123"/>
      <c r="M28" s="123" t="s">
        <v>69</v>
      </c>
      <c r="N28" s="123" t="s">
        <v>537</v>
      </c>
      <c r="O28" s="123"/>
      <c r="P28" s="123"/>
      <c r="Q28" s="123"/>
    </row>
    <row r="29" spans="2:17" ht="13.5" customHeight="1">
      <c r="D29" s="123"/>
      <c r="E29" s="132"/>
      <c r="F29" s="133"/>
      <c r="I29" s="123"/>
      <c r="J29" s="103"/>
      <c r="K29" s="123" t="s">
        <v>854</v>
      </c>
      <c r="L29" s="123"/>
      <c r="M29" s="123" t="s">
        <v>69</v>
      </c>
      <c r="N29" s="123" t="s">
        <v>537</v>
      </c>
      <c r="O29" s="123"/>
      <c r="P29" s="123"/>
      <c r="Q29" s="123"/>
    </row>
    <row r="30" spans="2:17" ht="13.5" customHeight="1">
      <c r="D30" s="123"/>
      <c r="E30" s="132"/>
      <c r="F30" s="133"/>
      <c r="I30" s="123" t="str">
        <f>'EB1'!B7</f>
        <v>EXP</v>
      </c>
      <c r="J30" s="103"/>
      <c r="K30" s="123" t="str">
        <f t="shared" ref="K30:K36" si="6">$I$30&amp;$C2&amp;1</f>
        <v>EXPOIL1</v>
      </c>
      <c r="L30" s="123"/>
      <c r="M30" s="123" t="str">
        <f>$E$2</f>
        <v>PJ</v>
      </c>
      <c r="N30" s="123" t="str">
        <f>$E$2&amp;"a"</f>
        <v>PJa</v>
      </c>
      <c r="O30" s="123"/>
      <c r="P30" s="123"/>
      <c r="Q30" s="123"/>
    </row>
    <row r="31" spans="2:17" ht="13.5" customHeight="1">
      <c r="D31" s="123"/>
      <c r="E31" s="132"/>
      <c r="F31" s="133"/>
      <c r="J31" s="103"/>
      <c r="K31" s="123" t="str">
        <f t="shared" si="6"/>
        <v>EXPLPG1</v>
      </c>
      <c r="L31" s="123"/>
      <c r="M31" s="123" t="str">
        <f t="shared" ref="M31:M36" si="7">$E$2</f>
        <v>PJ</v>
      </c>
      <c r="N31" s="123" t="str">
        <f t="shared" ref="N31:N36" si="8">$E$2&amp;"a"</f>
        <v>PJa</v>
      </c>
      <c r="O31" s="123"/>
      <c r="P31" s="123"/>
      <c r="Q31" s="123"/>
    </row>
    <row r="32" spans="2:17" ht="13.5" customHeight="1">
      <c r="D32" s="123"/>
      <c r="E32" s="132"/>
      <c r="F32" s="133"/>
      <c r="J32" s="103"/>
      <c r="K32" s="123" t="str">
        <f t="shared" si="6"/>
        <v>EXPPET1</v>
      </c>
      <c r="L32" s="123"/>
      <c r="M32" s="123" t="str">
        <f t="shared" si="7"/>
        <v>PJ</v>
      </c>
      <c r="N32" s="123" t="str">
        <f t="shared" si="8"/>
        <v>PJa</v>
      </c>
      <c r="O32" s="123"/>
      <c r="P32" s="123"/>
    </row>
    <row r="33" spans="3:25" ht="13.5" customHeight="1">
      <c r="D33" s="123"/>
      <c r="E33" s="132"/>
      <c r="F33" s="133"/>
      <c r="J33" s="103"/>
      <c r="K33" s="123" t="str">
        <f t="shared" si="6"/>
        <v>EXPDSL1</v>
      </c>
      <c r="L33" s="123"/>
      <c r="M33" s="123" t="str">
        <f t="shared" si="7"/>
        <v>PJ</v>
      </c>
      <c r="N33" s="123" t="str">
        <f t="shared" si="8"/>
        <v>PJa</v>
      </c>
      <c r="O33" s="123"/>
      <c r="P33" s="123"/>
    </row>
    <row r="34" spans="3:25" ht="13.5" customHeight="1">
      <c r="C34" s="123"/>
      <c r="E34" s="132"/>
      <c r="F34" s="133"/>
      <c r="J34" s="103"/>
      <c r="K34" s="123" t="str">
        <f t="shared" si="6"/>
        <v>EXPFOL1</v>
      </c>
      <c r="L34" s="123"/>
      <c r="M34" s="123" t="str">
        <f t="shared" si="7"/>
        <v>PJ</v>
      </c>
      <c r="N34" s="123" t="str">
        <f t="shared" si="8"/>
        <v>PJa</v>
      </c>
      <c r="O34" s="123"/>
      <c r="P34" s="123"/>
    </row>
    <row r="35" spans="3:25" ht="13.5" customHeight="1">
      <c r="C35" s="123"/>
      <c r="E35" s="132"/>
      <c r="F35" s="133"/>
      <c r="J35" s="103"/>
      <c r="K35" s="123" t="str">
        <f t="shared" si="6"/>
        <v>EXPJET1</v>
      </c>
      <c r="L35" s="123"/>
      <c r="M35" s="123" t="str">
        <f t="shared" si="7"/>
        <v>PJ</v>
      </c>
      <c r="N35" s="123" t="str">
        <f t="shared" si="8"/>
        <v>PJa</v>
      </c>
      <c r="O35" s="123"/>
      <c r="P35" s="123"/>
    </row>
    <row r="36" spans="3:25" ht="13.5" customHeight="1">
      <c r="C36" s="123"/>
      <c r="E36" s="132"/>
      <c r="F36" s="133"/>
      <c r="J36" s="103"/>
      <c r="K36" s="123" t="str">
        <f t="shared" si="6"/>
        <v>EXPOTH1</v>
      </c>
      <c r="L36" s="123"/>
      <c r="M36" s="123" t="str">
        <f t="shared" si="7"/>
        <v>PJ</v>
      </c>
      <c r="N36" s="123" t="str">
        <f t="shared" si="8"/>
        <v>PJa</v>
      </c>
    </row>
    <row r="37" spans="3:25" ht="13.5" customHeight="1">
      <c r="C37" s="123"/>
      <c r="E37" s="132"/>
      <c r="F37" s="133"/>
    </row>
    <row r="38" spans="3:25" ht="13.5" customHeight="1">
      <c r="C38" s="123"/>
      <c r="E38" s="132"/>
      <c r="F38" s="133"/>
    </row>
    <row r="39" spans="3:25" ht="13.5" customHeight="1">
      <c r="C39" s="123"/>
      <c r="E39" s="132"/>
      <c r="F39" s="133"/>
    </row>
    <row r="40" spans="3:25" ht="13.5" customHeight="1">
      <c r="C40" s="123"/>
      <c r="E40" s="132"/>
      <c r="F40" s="133"/>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56" si="9">+K19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9"/>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si="9"/>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9"/>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9"/>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9"/>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9"/>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9"/>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9"/>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0">+K30</f>
        <v>EXPOIL1</v>
      </c>
      <c r="J59" s="319" t="s">
        <v>643</v>
      </c>
      <c r="K59" s="318"/>
      <c r="L59" s="325"/>
      <c r="M59" s="326">
        <v>15</v>
      </c>
      <c r="N59" s="327">
        <f>+N50</f>
        <v>19.652714084529268</v>
      </c>
      <c r="O59" s="327">
        <f t="shared" ref="O59:T59" si="11">+O50</f>
        <v>23.828154262405445</v>
      </c>
      <c r="P59" s="327">
        <f t="shared" si="11"/>
        <v>28.001198651507963</v>
      </c>
      <c r="Q59" s="327">
        <f t="shared" si="11"/>
        <v>29.705663006637444</v>
      </c>
      <c r="R59" s="327">
        <f t="shared" si="11"/>
        <v>31.403687298111919</v>
      </c>
      <c r="S59" s="327">
        <f t="shared" si="11"/>
        <v>35.200694465729647</v>
      </c>
      <c r="T59" s="327">
        <f t="shared" si="11"/>
        <v>35.377129837310477</v>
      </c>
      <c r="U59" s="290">
        <f>+U48</f>
        <v>60.8826559246681</v>
      </c>
    </row>
    <row r="60" spans="9:25" ht="13.5" customHeight="1">
      <c r="I60" s="319" t="str">
        <f t="shared" si="10"/>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0"/>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0"/>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0"/>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0"/>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0"/>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19" t="s">
        <v>497</v>
      </c>
      <c r="K70" s="620"/>
      <c r="L70" s="62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19" t="s">
        <v>497</v>
      </c>
      <c r="L81" s="62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52"/>
  <sheetViews>
    <sheetView topLeftCell="E13" zoomScale="85" zoomScaleNormal="85" workbookViewId="0">
      <selection activeCell="V28" sqref="V28"/>
    </sheetView>
  </sheetViews>
  <sheetFormatPr defaultColWidth="8.81640625" defaultRowHeight="12"/>
  <cols>
    <col min="1" max="1" width="2" style="98" bestFit="1" customWidth="1"/>
    <col min="2" max="2" width="13.81640625" style="99" customWidth="1"/>
    <col min="3" max="3" width="11.81640625" style="99" bestFit="1" customWidth="1"/>
    <col min="4" max="4" width="14" style="99" bestFit="1" customWidth="1"/>
    <col min="5" max="5" width="8.453125" style="99" bestFit="1" customWidth="1"/>
    <col min="6" max="6" width="13.26953125" style="99" customWidth="1"/>
    <col min="7" max="7" width="2" style="98" bestFit="1" customWidth="1"/>
    <col min="8" max="8" width="11.81640625" style="99" bestFit="1" customWidth="1"/>
    <col min="9" max="9" width="7.453125" style="99" bestFit="1" customWidth="1"/>
    <col min="10" max="10" width="12.1796875" style="99" bestFit="1" customWidth="1"/>
    <col min="11" max="11" width="40.54296875" style="99" customWidth="1"/>
    <col min="12" max="12" width="10" style="99" bestFit="1" customWidth="1"/>
    <col min="13" max="13" width="10.54296875" style="99" bestFit="1" customWidth="1"/>
    <col min="14" max="14" width="13" style="99" bestFit="1" customWidth="1"/>
    <col min="15" max="15" width="14.26953125" style="99" bestFit="1" customWidth="1"/>
    <col min="16" max="16" width="10" style="99" bestFit="1" customWidth="1"/>
    <col min="17" max="17" width="10" style="98" bestFit="1" customWidth="1"/>
    <col min="18" max="18" width="10.453125" style="98" bestFit="1" customWidth="1"/>
    <col min="19" max="16384" width="8.81640625" style="98"/>
  </cols>
  <sheetData>
    <row r="1" spans="2:19" ht="24">
      <c r="B1" s="100" t="s">
        <v>66</v>
      </c>
      <c r="C1" s="100" t="s">
        <v>67</v>
      </c>
      <c r="D1" s="100" t="s">
        <v>68</v>
      </c>
      <c r="E1" s="100" t="s">
        <v>70</v>
      </c>
      <c r="F1" s="100" t="s">
        <v>71</v>
      </c>
    </row>
    <row r="2" spans="2:19">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19">
      <c r="C3" s="135" t="str">
        <f>'EB1'!S32</f>
        <v>GEO</v>
      </c>
      <c r="D3" s="135" t="str">
        <f>'EB1'!S31</f>
        <v>Geothermal</v>
      </c>
      <c r="E3" s="135" t="str">
        <f>'EB1'!$Z$2</f>
        <v>PJ</v>
      </c>
      <c r="H3" s="104" t="s">
        <v>7</v>
      </c>
      <c r="I3" s="105" t="s">
        <v>30</v>
      </c>
      <c r="J3" s="104" t="s">
        <v>0</v>
      </c>
      <c r="K3" s="104" t="s">
        <v>3</v>
      </c>
      <c r="L3" s="104" t="s">
        <v>4</v>
      </c>
      <c r="M3" s="104" t="s">
        <v>8</v>
      </c>
      <c r="N3" s="104" t="s">
        <v>9</v>
      </c>
      <c r="O3" s="104" t="s">
        <v>10</v>
      </c>
      <c r="P3" s="104" t="s">
        <v>12</v>
      </c>
    </row>
    <row r="4" spans="2:19" ht="11.25" customHeight="1" thickBot="1">
      <c r="C4" s="135" t="str">
        <f>'EB1'!T32</f>
        <v>SOL</v>
      </c>
      <c r="D4" s="135" t="str">
        <f>'EB1'!T31</f>
        <v>Solar</v>
      </c>
      <c r="E4" s="135" t="str">
        <f>'EB1'!$Z$2</f>
        <v>PJ</v>
      </c>
      <c r="H4" s="106" t="s">
        <v>37</v>
      </c>
      <c r="I4" s="106" t="s">
        <v>31</v>
      </c>
      <c r="J4" s="106" t="s">
        <v>26</v>
      </c>
      <c r="K4" s="106" t="s">
        <v>27</v>
      </c>
      <c r="L4" s="106" t="s">
        <v>4</v>
      </c>
      <c r="M4" s="106" t="s">
        <v>40</v>
      </c>
      <c r="N4" s="106" t="s">
        <v>41</v>
      </c>
      <c r="O4" s="106" t="s">
        <v>28</v>
      </c>
      <c r="P4" s="106" t="s">
        <v>29</v>
      </c>
    </row>
    <row r="5" spans="2:19">
      <c r="C5" s="135" t="str">
        <f>'EB1'!U32</f>
        <v>WIN</v>
      </c>
      <c r="D5" s="135" t="str">
        <f>'EB1'!U31</f>
        <v>Wind</v>
      </c>
      <c r="E5" s="135" t="str">
        <f>'EB1'!$Z$2</f>
        <v>PJ</v>
      </c>
      <c r="H5" s="103" t="s">
        <v>65</v>
      </c>
      <c r="I5" s="103"/>
      <c r="J5" s="103" t="str">
        <f t="shared" ref="J5:J10" si="0">C2</f>
        <v>HYD</v>
      </c>
      <c r="K5" s="103" t="s">
        <v>526</v>
      </c>
      <c r="L5" s="103" t="str">
        <f t="shared" ref="L5:L12" si="1">$E$2</f>
        <v>PJ</v>
      </c>
      <c r="M5" s="103" t="s">
        <v>584</v>
      </c>
      <c r="N5" s="103" t="s">
        <v>92</v>
      </c>
      <c r="O5" s="103"/>
      <c r="P5" s="103"/>
    </row>
    <row r="6" spans="2:19">
      <c r="C6" s="136" t="str">
        <f>'EB1'!V32</f>
        <v>BIL</v>
      </c>
      <c r="D6" s="136" t="str">
        <f>'EB1'!V31</f>
        <v>Liquid Biofuels</v>
      </c>
      <c r="E6" s="136"/>
      <c r="H6" s="103"/>
      <c r="I6" s="103"/>
      <c r="J6" s="103" t="str">
        <f t="shared" si="0"/>
        <v>GEO</v>
      </c>
      <c r="K6" s="103" t="s">
        <v>527</v>
      </c>
      <c r="L6" s="103" t="str">
        <f t="shared" si="1"/>
        <v>PJ</v>
      </c>
      <c r="M6" s="103" t="s">
        <v>584</v>
      </c>
      <c r="N6" s="103" t="s">
        <v>92</v>
      </c>
      <c r="O6" s="103"/>
      <c r="P6" s="103"/>
    </row>
    <row r="7" spans="2:19">
      <c r="C7" s="135" t="str">
        <f>'EB1'!W32</f>
        <v>BIG</v>
      </c>
      <c r="D7" s="135" t="str">
        <f>'EB1'!W31</f>
        <v>Biogas</v>
      </c>
      <c r="E7" s="136"/>
      <c r="H7" s="103"/>
      <c r="I7" s="103"/>
      <c r="J7" s="103" t="str">
        <f t="shared" si="0"/>
        <v>SOL</v>
      </c>
      <c r="K7" s="103" t="s">
        <v>528</v>
      </c>
      <c r="L7" s="103" t="str">
        <f t="shared" si="1"/>
        <v>PJ</v>
      </c>
      <c r="M7" s="103" t="s">
        <v>584</v>
      </c>
      <c r="N7" s="103" t="s">
        <v>92</v>
      </c>
      <c r="O7" s="103"/>
      <c r="P7" s="103"/>
    </row>
    <row r="8" spans="2:19">
      <c r="C8" s="135" t="str">
        <f>'EB1'!X32</f>
        <v>WOD</v>
      </c>
      <c r="D8" s="135" t="str">
        <f>'EB1'!X31</f>
        <v>Wood</v>
      </c>
      <c r="E8" s="136"/>
      <c r="H8" s="103"/>
      <c r="I8" s="103"/>
      <c r="J8" s="103" t="str">
        <f t="shared" si="0"/>
        <v>WIN</v>
      </c>
      <c r="K8" s="103" t="s">
        <v>529</v>
      </c>
      <c r="L8" s="103" t="str">
        <f t="shared" si="1"/>
        <v>PJ</v>
      </c>
      <c r="M8" s="103" t="s">
        <v>584</v>
      </c>
      <c r="N8" s="103" t="s">
        <v>92</v>
      </c>
      <c r="O8" s="103"/>
      <c r="P8" s="103"/>
    </row>
    <row r="9" spans="2:19">
      <c r="C9" s="135" t="str">
        <f>'EB1'!Y32</f>
        <v>TID</v>
      </c>
      <c r="D9" s="135" t="str">
        <f>'EB1'!Y31</f>
        <v>Tidal</v>
      </c>
      <c r="E9" s="136"/>
      <c r="H9" s="103"/>
      <c r="I9" s="103"/>
      <c r="J9" s="103" t="str">
        <f t="shared" si="0"/>
        <v>BIL</v>
      </c>
      <c r="K9" s="103" t="s">
        <v>530</v>
      </c>
      <c r="L9" s="103" t="str">
        <f t="shared" si="1"/>
        <v>PJ</v>
      </c>
      <c r="M9" s="103" t="s">
        <v>584</v>
      </c>
      <c r="N9" s="103" t="s">
        <v>92</v>
      </c>
      <c r="O9" s="103"/>
      <c r="P9" s="103"/>
    </row>
    <row r="10" spans="2:19">
      <c r="C10" s="134" t="s">
        <v>347</v>
      </c>
      <c r="D10" s="134" t="s">
        <v>348</v>
      </c>
      <c r="H10" s="103"/>
      <c r="I10" s="103"/>
      <c r="J10" s="103" t="str">
        <f t="shared" si="0"/>
        <v>BIG</v>
      </c>
      <c r="K10" s="103" t="s">
        <v>531</v>
      </c>
      <c r="L10" s="103" t="str">
        <f t="shared" si="1"/>
        <v>PJ</v>
      </c>
      <c r="M10" s="103" t="s">
        <v>584</v>
      </c>
      <c r="N10" s="103" t="s">
        <v>92</v>
      </c>
      <c r="O10" s="103"/>
      <c r="P10" s="103"/>
    </row>
    <row r="11" spans="2:19">
      <c r="C11" s="134"/>
      <c r="D11" s="134"/>
      <c r="H11" s="103"/>
      <c r="I11" s="103"/>
      <c r="J11" s="103" t="str">
        <f>C9</f>
        <v>TID</v>
      </c>
      <c r="K11" s="103" t="s">
        <v>533</v>
      </c>
      <c r="L11" s="103" t="str">
        <f t="shared" si="1"/>
        <v>PJ</v>
      </c>
      <c r="M11" s="103" t="s">
        <v>584</v>
      </c>
      <c r="N11" s="103" t="s">
        <v>92</v>
      </c>
      <c r="O11" s="103"/>
      <c r="P11" s="103"/>
    </row>
    <row r="12" spans="2:19">
      <c r="C12" s="134"/>
      <c r="D12" s="134"/>
      <c r="H12" s="103"/>
      <c r="I12" s="103"/>
      <c r="J12" s="103" t="str">
        <f>C10</f>
        <v>URN</v>
      </c>
      <c r="K12" s="103" t="s">
        <v>348</v>
      </c>
      <c r="L12" s="103" t="str">
        <f t="shared" si="1"/>
        <v>PJ</v>
      </c>
      <c r="M12" s="103" t="s">
        <v>584</v>
      </c>
      <c r="N12" s="103" t="s">
        <v>92</v>
      </c>
      <c r="O12" s="103"/>
      <c r="P12" s="103"/>
    </row>
    <row r="13" spans="2:19">
      <c r="D13" s="107"/>
    </row>
    <row r="14" spans="2:19" ht="12.5">
      <c r="E14" s="107"/>
      <c r="H14" s="102" t="s">
        <v>15</v>
      </c>
      <c r="I14" s="102"/>
      <c r="J14" s="103"/>
      <c r="K14" s="103"/>
      <c r="L14" s="103"/>
      <c r="M14" s="103"/>
      <c r="N14" s="103"/>
      <c r="O14" s="103"/>
      <c r="R14" s="450" t="s">
        <v>637</v>
      </c>
      <c r="S14" s="475">
        <f>85%</f>
        <v>0.85</v>
      </c>
    </row>
    <row r="15" spans="2:19" ht="12.5">
      <c r="B15" s="108"/>
      <c r="C15" s="109"/>
      <c r="D15" s="108"/>
      <c r="E15" s="110"/>
      <c r="F15" s="110"/>
      <c r="H15" s="104" t="s">
        <v>11</v>
      </c>
      <c r="I15" s="105" t="s">
        <v>30</v>
      </c>
      <c r="J15" s="104" t="s">
        <v>1</v>
      </c>
      <c r="K15" s="104" t="s">
        <v>2</v>
      </c>
      <c r="L15" s="104" t="s">
        <v>16</v>
      </c>
      <c r="M15" s="104" t="s">
        <v>17</v>
      </c>
      <c r="N15" s="104" t="s">
        <v>18</v>
      </c>
      <c r="O15" s="104" t="s">
        <v>19</v>
      </c>
      <c r="P15" s="104" t="s">
        <v>20</v>
      </c>
      <c r="R15" s="98" t="s">
        <v>638</v>
      </c>
      <c r="S15" s="475">
        <v>0.15</v>
      </c>
    </row>
    <row r="16" spans="2:19" ht="24.5" thickBot="1">
      <c r="B16" s="111"/>
      <c r="C16" s="111"/>
      <c r="D16" s="111"/>
      <c r="E16" s="111"/>
      <c r="F16" s="111"/>
      <c r="H16" s="106" t="s">
        <v>38</v>
      </c>
      <c r="I16" s="106" t="s">
        <v>31</v>
      </c>
      <c r="J16" s="106" t="s">
        <v>21</v>
      </c>
      <c r="K16" s="106" t="s">
        <v>22</v>
      </c>
      <c r="L16" s="106" t="s">
        <v>23</v>
      </c>
      <c r="M16" s="106" t="s">
        <v>24</v>
      </c>
      <c r="N16" s="106" t="s">
        <v>43</v>
      </c>
      <c r="O16" s="106" t="s">
        <v>42</v>
      </c>
      <c r="P16" s="106" t="s">
        <v>25</v>
      </c>
    </row>
    <row r="17" spans="2:22" ht="12.5" thickBot="1">
      <c r="B17" s="111"/>
      <c r="C17" s="112"/>
      <c r="D17" s="112"/>
      <c r="E17" s="112"/>
      <c r="F17" s="112"/>
      <c r="H17" s="106" t="s">
        <v>73</v>
      </c>
      <c r="I17" s="113"/>
      <c r="J17" s="113"/>
      <c r="K17" s="113"/>
      <c r="L17" s="113"/>
      <c r="M17" s="113"/>
      <c r="N17" s="113"/>
      <c r="O17" s="113"/>
      <c r="P17" s="113"/>
    </row>
    <row r="18" spans="2:22">
      <c r="E18" s="300"/>
      <c r="F18" s="301"/>
      <c r="H18" s="103" t="str">
        <f>'EB1'!$B$5</f>
        <v>MIN</v>
      </c>
      <c r="I18" s="103"/>
      <c r="J18" s="103" t="str">
        <f t="shared" ref="J18:J21" si="2">$H$18&amp;C2&amp;1</f>
        <v>MINHYD1</v>
      </c>
      <c r="K18" s="115"/>
      <c r="L18" s="103" t="str">
        <f t="shared" ref="L18:L23" si="3">$E$2</f>
        <v>PJ</v>
      </c>
      <c r="M18" s="103" t="str">
        <f t="shared" ref="M18:M23" si="4">$E$2&amp;"a"</f>
        <v>PJa</v>
      </c>
      <c r="N18" s="103" t="s">
        <v>92</v>
      </c>
      <c r="O18" s="103"/>
      <c r="P18" s="103"/>
    </row>
    <row r="19" spans="2:22">
      <c r="E19" s="301"/>
      <c r="F19" s="301"/>
      <c r="H19" s="103"/>
      <c r="I19" s="103"/>
      <c r="J19" s="103" t="str">
        <f t="shared" si="2"/>
        <v>MINGEO1</v>
      </c>
      <c r="K19" s="115"/>
      <c r="L19" s="103" t="str">
        <f t="shared" si="3"/>
        <v>PJ</v>
      </c>
      <c r="M19" s="103" t="str">
        <f t="shared" si="4"/>
        <v>PJa</v>
      </c>
      <c r="N19" s="103" t="s">
        <v>92</v>
      </c>
      <c r="O19" s="103"/>
      <c r="P19" s="103"/>
    </row>
    <row r="20" spans="2:22">
      <c r="E20" s="301"/>
      <c r="F20" s="301"/>
      <c r="H20" s="103"/>
      <c r="I20" s="103"/>
      <c r="J20" s="103" t="str">
        <f t="shared" si="2"/>
        <v>MINSOL1</v>
      </c>
      <c r="K20" s="115"/>
      <c r="L20" s="103" t="str">
        <f t="shared" si="3"/>
        <v>PJ</v>
      </c>
      <c r="M20" s="103" t="str">
        <f t="shared" si="4"/>
        <v>PJa</v>
      </c>
      <c r="N20" s="103" t="s">
        <v>92</v>
      </c>
      <c r="O20" s="103"/>
      <c r="P20" s="103"/>
    </row>
    <row r="21" spans="2:22">
      <c r="E21" s="300"/>
      <c r="F21" s="300"/>
      <c r="H21" s="103"/>
      <c r="I21" s="103"/>
      <c r="J21" s="103" t="str">
        <f t="shared" si="2"/>
        <v>MINWIN1</v>
      </c>
      <c r="K21" s="115"/>
      <c r="L21" s="103" t="str">
        <f t="shared" si="3"/>
        <v>PJ</v>
      </c>
      <c r="M21" s="103" t="str">
        <f t="shared" si="4"/>
        <v>PJa</v>
      </c>
      <c r="N21" s="103" t="s">
        <v>92</v>
      </c>
      <c r="O21" s="103"/>
      <c r="P21" s="103"/>
    </row>
    <row r="22" spans="2:22">
      <c r="B22" s="103"/>
      <c r="E22" s="300"/>
      <c r="F22" s="301"/>
      <c r="I22" s="103"/>
      <c r="J22" s="103" t="str">
        <f>$H$18&amp;C9&amp;1</f>
        <v>MINTID1</v>
      </c>
      <c r="K22" s="115"/>
      <c r="L22" s="103" t="str">
        <f t="shared" si="3"/>
        <v>PJ</v>
      </c>
      <c r="M22" s="103" t="str">
        <f t="shared" si="4"/>
        <v>PJa</v>
      </c>
      <c r="N22" s="103" t="s">
        <v>92</v>
      </c>
    </row>
    <row r="23" spans="2:22" ht="19.5" customHeight="1">
      <c r="E23" s="300"/>
      <c r="F23" s="301"/>
      <c r="J23" s="103" t="str">
        <f>$H$18&amp;C10&amp;1</f>
        <v>MINURN1</v>
      </c>
      <c r="K23" s="115"/>
      <c r="L23" s="103" t="str">
        <f t="shared" si="3"/>
        <v>PJ</v>
      </c>
      <c r="M23" s="103" t="str">
        <f t="shared" si="4"/>
        <v>PJa</v>
      </c>
      <c r="N23" s="103" t="s">
        <v>92</v>
      </c>
    </row>
    <row r="24" spans="2:22">
      <c r="B24" s="98"/>
      <c r="C24" s="98"/>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5">
      <c r="K43" s="476">
        <f t="shared" ref="K43:M52" si="5">0*(85%)</f>
        <v>0</v>
      </c>
      <c r="L43" s="476">
        <f t="shared" si="5"/>
        <v>0</v>
      </c>
      <c r="M43" s="476">
        <f t="shared" si="5"/>
        <v>0</v>
      </c>
    </row>
    <row r="44" spans="8:22" ht="12.5">
      <c r="K44" s="476">
        <f t="shared" si="5"/>
        <v>0</v>
      </c>
      <c r="L44" s="476">
        <f t="shared" si="5"/>
        <v>0</v>
      </c>
      <c r="M44" s="476">
        <f t="shared" si="5"/>
        <v>0</v>
      </c>
    </row>
    <row r="45" spans="8:22" ht="12.5">
      <c r="K45" s="476">
        <f t="shared" si="5"/>
        <v>0</v>
      </c>
      <c r="L45" s="476">
        <f t="shared" si="5"/>
        <v>0</v>
      </c>
      <c r="M45" s="476">
        <f t="shared" si="5"/>
        <v>0</v>
      </c>
    </row>
    <row r="46" spans="8:22" ht="12.5">
      <c r="K46" s="476">
        <f t="shared" si="5"/>
        <v>0</v>
      </c>
      <c r="L46" s="476">
        <f t="shared" si="5"/>
        <v>0</v>
      </c>
      <c r="M46" s="476">
        <f t="shared" si="5"/>
        <v>0</v>
      </c>
    </row>
    <row r="47" spans="8:22" ht="12.5">
      <c r="K47" s="476">
        <f t="shared" si="5"/>
        <v>0</v>
      </c>
      <c r="L47" s="476">
        <f t="shared" si="5"/>
        <v>0</v>
      </c>
      <c r="M47" s="476">
        <f t="shared" si="5"/>
        <v>0</v>
      </c>
    </row>
    <row r="48" spans="8:22" ht="12.5">
      <c r="K48" s="476">
        <f t="shared" si="5"/>
        <v>0</v>
      </c>
      <c r="L48" s="476">
        <f t="shared" si="5"/>
        <v>0</v>
      </c>
      <c r="M48" s="476">
        <f t="shared" si="5"/>
        <v>0</v>
      </c>
    </row>
    <row r="49" spans="11:13" ht="12.5">
      <c r="K49" s="476">
        <f t="shared" si="5"/>
        <v>0</v>
      </c>
      <c r="L49" s="476">
        <f t="shared" si="5"/>
        <v>0</v>
      </c>
      <c r="M49" s="476">
        <f t="shared" si="5"/>
        <v>0</v>
      </c>
    </row>
    <row r="50" spans="11:13" ht="12.5">
      <c r="K50" s="476">
        <f t="shared" si="5"/>
        <v>0</v>
      </c>
      <c r="L50" s="476">
        <f t="shared" si="5"/>
        <v>0</v>
      </c>
      <c r="M50" s="476">
        <f t="shared" si="5"/>
        <v>0</v>
      </c>
    </row>
    <row r="51" spans="11:13" ht="12.5">
      <c r="K51" s="476">
        <f t="shared" si="5"/>
        <v>0</v>
      </c>
      <c r="L51" s="476">
        <f t="shared" si="5"/>
        <v>0</v>
      </c>
      <c r="M51" s="476">
        <f t="shared" si="5"/>
        <v>0</v>
      </c>
    </row>
    <row r="52" spans="11:13" ht="12.5">
      <c r="K52" s="476">
        <f t="shared" si="5"/>
        <v>0</v>
      </c>
      <c r="L52" s="476">
        <f t="shared" si="5"/>
        <v>0</v>
      </c>
      <c r="M52" s="476">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28" zoomScale="80" zoomScaleNormal="80" workbookViewId="0">
      <selection activeCell="B46" sqref="B46"/>
    </sheetView>
  </sheetViews>
  <sheetFormatPr defaultColWidth="20.81640625" defaultRowHeight="18" customHeight="1"/>
  <cols>
    <col min="1" max="16384" width="20.81640625" style="450"/>
  </cols>
  <sheetData>
    <row r="1" spans="1:25" ht="18" customHeight="1">
      <c r="B1" s="450" t="s">
        <v>580</v>
      </c>
      <c r="E1" s="450" t="s">
        <v>581</v>
      </c>
    </row>
    <row r="4" spans="1:25" ht="18" customHeight="1">
      <c r="B4" s="122" t="s">
        <v>14</v>
      </c>
      <c r="C4" s="122"/>
      <c r="D4" s="123"/>
      <c r="E4" s="123"/>
      <c r="F4" s="123"/>
      <c r="G4" s="123"/>
      <c r="H4" s="123"/>
      <c r="I4" s="123"/>
      <c r="J4" s="123"/>
    </row>
    <row r="5" spans="1:25" ht="18" customHeight="1">
      <c r="B5" s="124" t="s">
        <v>7</v>
      </c>
      <c r="C5" s="125" t="s">
        <v>30</v>
      </c>
      <c r="D5" s="124" t="s">
        <v>0</v>
      </c>
      <c r="E5" s="124" t="s">
        <v>3</v>
      </c>
      <c r="F5" s="124" t="s">
        <v>4</v>
      </c>
      <c r="G5" s="124" t="s">
        <v>8</v>
      </c>
      <c r="H5" s="124" t="s">
        <v>9</v>
      </c>
      <c r="I5" s="124" t="s">
        <v>10</v>
      </c>
      <c r="J5" s="124" t="s">
        <v>12</v>
      </c>
    </row>
    <row r="6" spans="1:25" ht="18" customHeight="1" thickBot="1">
      <c r="B6" s="457" t="s">
        <v>37</v>
      </c>
      <c r="C6" s="457" t="s">
        <v>31</v>
      </c>
      <c r="D6" s="457" t="s">
        <v>26</v>
      </c>
      <c r="E6" s="457" t="s">
        <v>27</v>
      </c>
      <c r="F6" s="457" t="s">
        <v>4</v>
      </c>
      <c r="G6" s="457" t="s">
        <v>40</v>
      </c>
      <c r="H6" s="457" t="s">
        <v>41</v>
      </c>
      <c r="I6" s="457" t="s">
        <v>28</v>
      </c>
      <c r="J6" s="457" t="s">
        <v>29</v>
      </c>
    </row>
    <row r="7" spans="1:25" ht="18" customHeight="1">
      <c r="B7" s="123" t="s">
        <v>65</v>
      </c>
      <c r="C7" s="123"/>
      <c r="D7" s="450" t="s">
        <v>561</v>
      </c>
      <c r="E7" s="450" t="s">
        <v>560</v>
      </c>
      <c r="F7" s="450" t="s">
        <v>69</v>
      </c>
      <c r="G7" s="450" t="s">
        <v>584</v>
      </c>
      <c r="H7" s="123"/>
      <c r="I7" s="123"/>
      <c r="J7" s="123"/>
    </row>
    <row r="8" spans="1:25" ht="18" customHeight="1">
      <c r="D8" s="450" t="s">
        <v>563</v>
      </c>
      <c r="E8" s="450" t="s">
        <v>562</v>
      </c>
      <c r="F8" s="450" t="s">
        <v>69</v>
      </c>
      <c r="G8" s="450" t="s">
        <v>584</v>
      </c>
    </row>
    <row r="9" spans="1:25" ht="18" customHeight="1">
      <c r="D9" s="450" t="s">
        <v>564</v>
      </c>
      <c r="E9" s="450" t="s">
        <v>565</v>
      </c>
      <c r="F9" s="450" t="s">
        <v>69</v>
      </c>
      <c r="G9" s="450" t="s">
        <v>584</v>
      </c>
      <c r="H9" s="103"/>
    </row>
    <row r="10" spans="1:25" ht="18" customHeight="1">
      <c r="D10" s="450" t="s">
        <v>571</v>
      </c>
      <c r="E10" s="450" t="s">
        <v>570</v>
      </c>
      <c r="F10" s="450" t="s">
        <v>69</v>
      </c>
      <c r="G10" s="450" t="s">
        <v>584</v>
      </c>
    </row>
    <row r="11" spans="1:25" ht="18" customHeight="1">
      <c r="D11" s="450" t="s">
        <v>566</v>
      </c>
      <c r="E11" s="450" t="s">
        <v>567</v>
      </c>
      <c r="F11" s="450" t="s">
        <v>69</v>
      </c>
      <c r="G11" s="450" t="s">
        <v>584</v>
      </c>
      <c r="V11" t="s">
        <v>674</v>
      </c>
      <c r="W11"/>
      <c r="X11" t="s">
        <v>675</v>
      </c>
      <c r="Y11">
        <v>288</v>
      </c>
    </row>
    <row r="12" spans="1:25" ht="18" customHeight="1">
      <c r="D12" s="450" t="s">
        <v>402</v>
      </c>
      <c r="E12" s="450" t="s">
        <v>575</v>
      </c>
      <c r="F12" s="450" t="s">
        <v>69</v>
      </c>
      <c r="G12" s="450" t="s">
        <v>584</v>
      </c>
      <c r="P12" s="450" t="s">
        <v>656</v>
      </c>
      <c r="V12"/>
      <c r="W12"/>
      <c r="X12" t="s">
        <v>675</v>
      </c>
      <c r="Y12">
        <v>256</v>
      </c>
    </row>
    <row r="13" spans="1:25" ht="18" customHeight="1">
      <c r="A13"/>
      <c r="D13" s="450" t="s">
        <v>576</v>
      </c>
      <c r="E13" s="450" t="s">
        <v>469</v>
      </c>
      <c r="F13" s="450" t="s">
        <v>69</v>
      </c>
      <c r="G13" s="450" t="s">
        <v>584</v>
      </c>
      <c r="V13"/>
      <c r="W13"/>
      <c r="X13" t="s">
        <v>675</v>
      </c>
      <c r="Y13">
        <v>2139</v>
      </c>
    </row>
    <row r="14" spans="1:25" ht="18" customHeight="1">
      <c r="A14"/>
      <c r="D14" s="450" t="s">
        <v>182</v>
      </c>
      <c r="E14" s="450" t="s">
        <v>532</v>
      </c>
      <c r="F14" s="450" t="s">
        <v>69</v>
      </c>
      <c r="G14" s="450" t="s">
        <v>584</v>
      </c>
      <c r="P14" s="450" t="s">
        <v>637</v>
      </c>
      <c r="Q14" s="475">
        <f>80%</f>
        <v>0.8</v>
      </c>
      <c r="V14"/>
      <c r="W14"/>
      <c r="X14" t="s">
        <v>675</v>
      </c>
      <c r="Y14">
        <v>373</v>
      </c>
    </row>
    <row r="15" spans="1:25" ht="18" customHeight="1">
      <c r="A15"/>
      <c r="D15" s="450" t="s">
        <v>813</v>
      </c>
      <c r="E15" s="450" t="s">
        <v>818</v>
      </c>
      <c r="F15" s="450" t="s">
        <v>69</v>
      </c>
      <c r="G15" s="450" t="s">
        <v>584</v>
      </c>
      <c r="P15" s="450" t="s">
        <v>638</v>
      </c>
      <c r="Q15" s="475">
        <v>0.2</v>
      </c>
      <c r="V15"/>
      <c r="W15"/>
      <c r="X15" t="s">
        <v>675</v>
      </c>
      <c r="Y15">
        <v>267</v>
      </c>
    </row>
    <row r="16" spans="1:25" ht="18" customHeight="1">
      <c r="D16" s="450" t="s">
        <v>814</v>
      </c>
      <c r="E16" s="450" t="s">
        <v>819</v>
      </c>
      <c r="F16" s="450" t="s">
        <v>69</v>
      </c>
      <c r="G16" s="450" t="s">
        <v>584</v>
      </c>
      <c r="V16"/>
      <c r="W16"/>
      <c r="X16" t="s">
        <v>638</v>
      </c>
      <c r="Y16">
        <v>316</v>
      </c>
    </row>
    <row r="17" spans="2:25" ht="18" customHeight="1">
      <c r="D17" s="450" t="s">
        <v>834</v>
      </c>
      <c r="E17" s="450" t="s">
        <v>841</v>
      </c>
      <c r="F17" s="450" t="s">
        <v>69</v>
      </c>
      <c r="G17" s="450" t="s">
        <v>584</v>
      </c>
      <c r="P17" s="450" t="s">
        <v>630</v>
      </c>
      <c r="Q17" s="450">
        <v>66.489999999999995</v>
      </c>
      <c r="V17"/>
      <c r="W17"/>
      <c r="X17" t="s">
        <v>638</v>
      </c>
      <c r="Y17">
        <v>73</v>
      </c>
    </row>
    <row r="18" spans="2:25" ht="18" customHeight="1">
      <c r="V18"/>
      <c r="W18"/>
      <c r="X18" t="s">
        <v>638</v>
      </c>
      <c r="Y18">
        <v>149</v>
      </c>
    </row>
    <row r="19" spans="2:25" ht="18" customHeight="1">
      <c r="B19" s="122" t="s">
        <v>15</v>
      </c>
      <c r="C19" s="122"/>
      <c r="D19" s="123"/>
      <c r="E19" s="123"/>
      <c r="F19" s="123"/>
      <c r="G19" s="123"/>
      <c r="H19" s="123"/>
      <c r="I19" s="123"/>
      <c r="J19" s="123"/>
      <c r="P19" s="451"/>
      <c r="Q19" s="451" t="s">
        <v>69</v>
      </c>
      <c r="R19" s="450" t="s">
        <v>69</v>
      </c>
      <c r="S19" s="451" t="s">
        <v>69</v>
      </c>
      <c r="T19" s="451" t="s">
        <v>69</v>
      </c>
      <c r="V19"/>
      <c r="W19"/>
      <c r="X19" t="s">
        <v>638</v>
      </c>
      <c r="Y19">
        <v>263</v>
      </c>
    </row>
    <row r="20" spans="2:25" ht="18" customHeight="1">
      <c r="B20" s="124" t="s">
        <v>11</v>
      </c>
      <c r="C20" s="125" t="s">
        <v>30</v>
      </c>
      <c r="D20" s="124" t="s">
        <v>1</v>
      </c>
      <c r="E20" s="124" t="s">
        <v>2</v>
      </c>
      <c r="F20" s="124" t="s">
        <v>16</v>
      </c>
      <c r="G20" s="124" t="s">
        <v>17</v>
      </c>
      <c r="H20" s="124" t="s">
        <v>18</v>
      </c>
      <c r="I20" s="124" t="s">
        <v>19</v>
      </c>
      <c r="J20" s="124" t="s">
        <v>20</v>
      </c>
      <c r="P20" s="451" t="s">
        <v>543</v>
      </c>
      <c r="Q20" s="451">
        <v>2005</v>
      </c>
      <c r="R20" s="450">
        <v>2015</v>
      </c>
      <c r="S20" s="451">
        <v>2030</v>
      </c>
      <c r="T20" s="451">
        <v>2050</v>
      </c>
      <c r="V20"/>
      <c r="W20"/>
      <c r="X20" t="s">
        <v>154</v>
      </c>
      <c r="Y20">
        <f>SUM(Y11:Y19)</f>
        <v>4124</v>
      </c>
    </row>
    <row r="21" spans="2:25" ht="18" customHeight="1" thickBot="1">
      <c r="B21" s="457" t="s">
        <v>38</v>
      </c>
      <c r="C21" s="457" t="s">
        <v>31</v>
      </c>
      <c r="D21" s="457" t="s">
        <v>21</v>
      </c>
      <c r="E21" s="457" t="s">
        <v>22</v>
      </c>
      <c r="F21" s="457" t="s">
        <v>23</v>
      </c>
      <c r="G21" s="457" t="s">
        <v>24</v>
      </c>
      <c r="H21" s="457" t="s">
        <v>43</v>
      </c>
      <c r="I21" s="457" t="s">
        <v>42</v>
      </c>
      <c r="J21" s="457" t="s">
        <v>25</v>
      </c>
      <c r="P21" s="451" t="s">
        <v>544</v>
      </c>
      <c r="Q21" s="451">
        <v>18.3</v>
      </c>
      <c r="R21" s="450">
        <f>+(Q21+S21)/2</f>
        <v>30.65</v>
      </c>
      <c r="S21" s="451">
        <v>43</v>
      </c>
      <c r="T21" s="451">
        <v>36.9</v>
      </c>
      <c r="V21"/>
      <c r="W21"/>
      <c r="X21"/>
      <c r="Y21"/>
    </row>
    <row r="22" spans="2:25" ht="18" customHeight="1" thickBot="1">
      <c r="B22" s="457" t="s">
        <v>73</v>
      </c>
      <c r="C22" s="457"/>
      <c r="D22" s="457"/>
      <c r="E22" s="457"/>
      <c r="F22" s="457"/>
      <c r="G22" s="457"/>
      <c r="H22" s="457"/>
      <c r="I22" s="457"/>
      <c r="J22" s="457"/>
      <c r="P22" s="451" t="s">
        <v>545</v>
      </c>
      <c r="Q22" s="451">
        <v>8.8000000000000007</v>
      </c>
      <c r="R22" s="450">
        <f t="shared" ref="R22:R23" si="0">+(Q22+S22)/2</f>
        <v>10.100000000000001</v>
      </c>
      <c r="S22" s="451">
        <v>11.4</v>
      </c>
      <c r="T22" s="451">
        <v>23</v>
      </c>
      <c r="V22"/>
      <c r="W22"/>
      <c r="X22" s="481" t="s">
        <v>675</v>
      </c>
      <c r="Y22" s="481">
        <f>SUM(Y11:Y15)/Y20</f>
        <v>0.80577109602327834</v>
      </c>
    </row>
    <row r="23" spans="2:25" ht="18" customHeight="1">
      <c r="B23" s="123" t="str">
        <f>'EB1'!$B$5</f>
        <v>MIN</v>
      </c>
      <c r="C23" s="123"/>
      <c r="D23" s="123" t="str">
        <f>+B51</f>
        <v>MINWODWST00</v>
      </c>
      <c r="E23" s="318" t="s">
        <v>792</v>
      </c>
      <c r="F23" s="123" t="str">
        <f>$F$7</f>
        <v>PJ</v>
      </c>
      <c r="G23" s="123" t="str">
        <f>$F$7&amp;"a"</f>
        <v>PJa</v>
      </c>
      <c r="H23" s="123"/>
      <c r="I23" s="123"/>
      <c r="J23" s="123"/>
      <c r="P23" s="451" t="s">
        <v>546</v>
      </c>
      <c r="Q23" s="451">
        <v>4.4000000000000004</v>
      </c>
      <c r="R23" s="450">
        <f t="shared" si="0"/>
        <v>3.5500000000000003</v>
      </c>
      <c r="S23" s="451">
        <v>2.7</v>
      </c>
      <c r="T23" s="451">
        <v>3.6</v>
      </c>
      <c r="V23"/>
      <c r="W23"/>
      <c r="X23" s="481" t="s">
        <v>638</v>
      </c>
      <c r="Y23" s="481">
        <f>SUM(Y16:Y19)/Y20</f>
        <v>0.19422890397672163</v>
      </c>
    </row>
    <row r="24" spans="2:25" ht="18" customHeight="1">
      <c r="B24" s="123" t="str">
        <f>'EB1'!$B$5</f>
        <v>MIN</v>
      </c>
      <c r="C24" s="123"/>
      <c r="D24" s="123" t="str">
        <f>B52</f>
        <v>MINWODWST01</v>
      </c>
      <c r="E24" s="450" t="s">
        <v>849</v>
      </c>
      <c r="F24" s="123" t="str">
        <f t="shared" ref="F24:F26" si="1">$F$7</f>
        <v>PJ</v>
      </c>
      <c r="G24" s="123" t="str">
        <f t="shared" ref="G24:G26" si="2">$F$7&amp;"a"</f>
        <v>PJa</v>
      </c>
      <c r="H24" s="123"/>
      <c r="I24" s="123"/>
      <c r="J24" s="123"/>
      <c r="P24" s="451" t="s">
        <v>547</v>
      </c>
      <c r="Q24" s="451">
        <v>0.4</v>
      </c>
      <c r="R24" s="450">
        <f t="shared" ref="R24:R36" si="3">+(Q24+S24)/2</f>
        <v>0.4</v>
      </c>
      <c r="S24" s="451">
        <v>0.4</v>
      </c>
      <c r="T24" s="451">
        <v>0.4</v>
      </c>
      <c r="V24"/>
      <c r="W24"/>
      <c r="X24"/>
      <c r="Y24"/>
    </row>
    <row r="25" spans="2:25" ht="18" customHeight="1">
      <c r="B25" s="123" t="str">
        <f>'EB1'!$B$5</f>
        <v>MIN</v>
      </c>
      <c r="C25" s="123"/>
      <c r="D25" s="123" t="str">
        <f t="shared" ref="D25:D31" si="4">+B54</f>
        <v>MINAGRWST00</v>
      </c>
      <c r="E25" s="318" t="s">
        <v>795</v>
      </c>
      <c r="F25" s="123" t="str">
        <f t="shared" si="1"/>
        <v>PJ</v>
      </c>
      <c r="G25" s="123" t="str">
        <f t="shared" si="2"/>
        <v>PJa</v>
      </c>
      <c r="H25" s="123"/>
      <c r="I25" s="123"/>
      <c r="J25" s="123"/>
      <c r="P25" s="451" t="s">
        <v>548</v>
      </c>
      <c r="Q25" s="451">
        <v>9.1</v>
      </c>
      <c r="R25" s="450">
        <f t="shared" si="3"/>
        <v>9.1</v>
      </c>
      <c r="S25" s="451">
        <v>9.1</v>
      </c>
      <c r="T25" s="451">
        <v>9.1</v>
      </c>
      <c r="V25" t="s">
        <v>676</v>
      </c>
      <c r="W25"/>
      <c r="X25"/>
      <c r="Y25"/>
    </row>
    <row r="26" spans="2:25" ht="18" customHeight="1">
      <c r="B26" s="123" t="str">
        <f>'EB1'!$B$5</f>
        <v>MIN</v>
      </c>
      <c r="C26" s="123"/>
      <c r="D26" s="123" t="str">
        <f t="shared" si="4"/>
        <v>MINAGRWST01</v>
      </c>
      <c r="E26" s="318" t="s">
        <v>796</v>
      </c>
      <c r="F26" s="123" t="str">
        <f t="shared" si="1"/>
        <v>PJ</v>
      </c>
      <c r="G26" s="123" t="str">
        <f t="shared" si="2"/>
        <v>PJa</v>
      </c>
      <c r="H26" s="123"/>
      <c r="I26" s="123"/>
      <c r="J26" s="123"/>
      <c r="P26" s="451" t="s">
        <v>549</v>
      </c>
      <c r="Q26" s="451">
        <v>3.8</v>
      </c>
      <c r="R26" s="450">
        <f t="shared" si="3"/>
        <v>3.8</v>
      </c>
      <c r="S26" s="451">
        <v>3.8</v>
      </c>
      <c r="T26" s="451">
        <v>3.9</v>
      </c>
      <c r="V26" t="s">
        <v>677</v>
      </c>
      <c r="W26"/>
      <c r="X26" t="s">
        <v>675</v>
      </c>
      <c r="Y26">
        <v>56650</v>
      </c>
    </row>
    <row r="27" spans="2:25" ht="18" customHeight="1">
      <c r="B27" s="123" t="str">
        <f>'EB1'!$B$5</f>
        <v>MIN</v>
      </c>
      <c r="D27" s="123" t="str">
        <f t="shared" si="4"/>
        <v>MINMNCWST00</v>
      </c>
      <c r="E27" s="318" t="s">
        <v>798</v>
      </c>
      <c r="F27" s="123" t="str">
        <f t="shared" ref="F27:F43" si="5">$F$7</f>
        <v>PJ</v>
      </c>
      <c r="G27" s="123" t="str">
        <f t="shared" ref="G27:G32" si="6">$F$7&amp;"a"</f>
        <v>PJa</v>
      </c>
      <c r="P27" s="451" t="s">
        <v>550</v>
      </c>
      <c r="Q27" s="451">
        <v>1.5</v>
      </c>
      <c r="R27" s="450">
        <f t="shared" si="3"/>
        <v>1.5</v>
      </c>
      <c r="S27" s="451">
        <v>1.5</v>
      </c>
      <c r="T27" s="451">
        <v>1.6</v>
      </c>
      <c r="V27"/>
      <c r="W27"/>
      <c r="X27" t="s">
        <v>638</v>
      </c>
      <c r="Y27">
        <v>40400</v>
      </c>
    </row>
    <row r="28" spans="2:25" ht="18" customHeight="1">
      <c r="B28" s="123" t="str">
        <f>+B27</f>
        <v>MIN</v>
      </c>
      <c r="D28" s="123" t="str">
        <f t="shared" si="4"/>
        <v>MINANMMNR00</v>
      </c>
      <c r="E28" s="318" t="s">
        <v>800</v>
      </c>
      <c r="F28" s="123" t="str">
        <f t="shared" si="5"/>
        <v>PJ</v>
      </c>
      <c r="G28" s="123" t="str">
        <f t="shared" si="6"/>
        <v>PJa</v>
      </c>
      <c r="L28" s="450" t="s">
        <v>836</v>
      </c>
      <c r="P28" s="451" t="s">
        <v>551</v>
      </c>
      <c r="Q28" s="451">
        <v>0.9</v>
      </c>
      <c r="R28" s="450">
        <f t="shared" si="3"/>
        <v>1</v>
      </c>
      <c r="S28" s="451">
        <v>1.1000000000000001</v>
      </c>
      <c r="T28" s="451">
        <v>1.2</v>
      </c>
      <c r="V28"/>
      <c r="W28"/>
      <c r="X28" t="s">
        <v>154</v>
      </c>
      <c r="Y28">
        <f>SUM(Y26:Y27)</f>
        <v>97050</v>
      </c>
    </row>
    <row r="29" spans="2:25" ht="18" customHeight="1">
      <c r="B29" s="123" t="str">
        <f>'EB1'!$B$5</f>
        <v>MIN</v>
      </c>
      <c r="D29" s="123" t="str">
        <f t="shared" si="4"/>
        <v>MINOILWST00</v>
      </c>
      <c r="E29" s="318" t="s">
        <v>802</v>
      </c>
      <c r="F29" s="123" t="str">
        <f t="shared" si="5"/>
        <v>PJ</v>
      </c>
      <c r="G29" s="123" t="str">
        <f t="shared" si="6"/>
        <v>PJa</v>
      </c>
      <c r="H29" s="103"/>
      <c r="L29" s="450">
        <v>20</v>
      </c>
      <c r="M29" s="450" t="s">
        <v>837</v>
      </c>
      <c r="P29" s="451" t="s">
        <v>552</v>
      </c>
      <c r="Q29" s="451">
        <v>2.8</v>
      </c>
      <c r="R29" s="450">
        <f t="shared" si="3"/>
        <v>2.8499999999999996</v>
      </c>
      <c r="S29" s="451">
        <v>2.9</v>
      </c>
      <c r="T29" s="451">
        <v>2.9</v>
      </c>
      <c r="V29"/>
      <c r="W29"/>
      <c r="X29"/>
      <c r="Y29"/>
    </row>
    <row r="30" spans="2:25" ht="18" customHeight="1">
      <c r="B30" s="123" t="str">
        <f>'EB1'!$B$5</f>
        <v>MIN</v>
      </c>
      <c r="D30" s="123" t="str">
        <f t="shared" si="4"/>
        <v>MINOILWST01</v>
      </c>
      <c r="E30" s="318" t="s">
        <v>803</v>
      </c>
      <c r="F30" s="123" t="str">
        <f t="shared" si="5"/>
        <v>PJ</v>
      </c>
      <c r="G30" s="123" t="str">
        <f t="shared" si="6"/>
        <v>PJa</v>
      </c>
      <c r="L30" s="450">
        <v>1.4999999999999999E-2</v>
      </c>
      <c r="M30" s="450" t="s">
        <v>838</v>
      </c>
      <c r="P30" s="451" t="s">
        <v>553</v>
      </c>
      <c r="Q30" s="451">
        <v>1.5</v>
      </c>
      <c r="R30" s="450">
        <f t="shared" si="3"/>
        <v>1.5</v>
      </c>
      <c r="S30" s="451">
        <v>1.5</v>
      </c>
      <c r="T30" s="451">
        <v>1.6</v>
      </c>
      <c r="V30"/>
      <c r="W30"/>
      <c r="X30" s="481" t="s">
        <v>675</v>
      </c>
      <c r="Y30" s="481">
        <f>Y26/Y28</f>
        <v>0.58371973209685724</v>
      </c>
    </row>
    <row r="31" spans="2:25" ht="18" customHeight="1">
      <c r="B31" s="123" t="str">
        <f>'EB1'!$B$5</f>
        <v>MIN</v>
      </c>
      <c r="D31" s="123" t="str">
        <f t="shared" si="4"/>
        <v>MINWODSUPCUR00</v>
      </c>
      <c r="E31" s="123" t="s">
        <v>812</v>
      </c>
      <c r="F31" s="123" t="str">
        <f t="shared" si="5"/>
        <v>PJ</v>
      </c>
      <c r="G31" s="123" t="str">
        <f t="shared" si="6"/>
        <v>PJa</v>
      </c>
      <c r="L31" s="450">
        <f>L30/L29</f>
        <v>7.5000000000000002E-4</v>
      </c>
      <c r="M31" s="450" t="s">
        <v>839</v>
      </c>
      <c r="P31" s="451" t="s">
        <v>554</v>
      </c>
      <c r="Q31" s="451">
        <v>0.1</v>
      </c>
      <c r="R31" s="450">
        <f t="shared" si="3"/>
        <v>0.1</v>
      </c>
      <c r="S31" s="451">
        <v>0.1</v>
      </c>
      <c r="T31" s="451">
        <v>0.1</v>
      </c>
      <c r="V31"/>
      <c r="W31"/>
      <c r="X31" s="481" t="s">
        <v>638</v>
      </c>
      <c r="Y31" s="481">
        <f>Y27/Y28</f>
        <v>0.41628026790314271</v>
      </c>
    </row>
    <row r="32" spans="2:25" ht="18" customHeight="1">
      <c r="B32" s="123" t="str">
        <f>+B31</f>
        <v>MIN</v>
      </c>
      <c r="D32" s="123" t="s">
        <v>634</v>
      </c>
      <c r="E32" s="123" t="str">
        <f>+E31</f>
        <v>Domestic supply of current wood in use</v>
      </c>
      <c r="F32" s="123" t="str">
        <f t="shared" si="5"/>
        <v>PJ</v>
      </c>
      <c r="G32" s="123" t="str">
        <f t="shared" si="6"/>
        <v>PJa</v>
      </c>
      <c r="L32" s="450">
        <f>L31/1000000*10^9</f>
        <v>0.75</v>
      </c>
      <c r="M32" s="450" t="s">
        <v>586</v>
      </c>
      <c r="P32" s="451" t="s">
        <v>555</v>
      </c>
      <c r="Q32" s="451">
        <v>0.04</v>
      </c>
      <c r="R32" s="450">
        <f t="shared" si="3"/>
        <v>0.02</v>
      </c>
      <c r="S32" s="451">
        <v>0</v>
      </c>
      <c r="T32" s="451">
        <v>0.1</v>
      </c>
      <c r="V32"/>
      <c r="W32"/>
      <c r="X32"/>
      <c r="Y32"/>
    </row>
    <row r="33" spans="1:27" ht="18" customHeight="1">
      <c r="B33" s="450" t="s">
        <v>87</v>
      </c>
      <c r="D33" s="123" t="str">
        <f>+"REF_"&amp;D7</f>
        <v>REF_WODWST</v>
      </c>
      <c r="E33" s="123" t="str">
        <f>+"Biogas production refinery from "&amp;E7</f>
        <v>Biogas production refinery from Forest residues and woody wastes</v>
      </c>
      <c r="F33" s="123" t="str">
        <f t="shared" si="5"/>
        <v>PJ</v>
      </c>
      <c r="G33" s="123" t="s">
        <v>572</v>
      </c>
      <c r="P33" s="451" t="s">
        <v>556</v>
      </c>
      <c r="Q33" s="451">
        <v>0.5</v>
      </c>
      <c r="R33" s="450">
        <f t="shared" si="3"/>
        <v>0.5</v>
      </c>
      <c r="S33" s="451">
        <v>0.5</v>
      </c>
      <c r="T33" s="451">
        <v>0.6</v>
      </c>
      <c r="V33"/>
      <c r="W33"/>
      <c r="X33"/>
      <c r="Y33"/>
    </row>
    <row r="34" spans="1:27" ht="18" customHeight="1">
      <c r="B34" s="450" t="s">
        <v>87</v>
      </c>
      <c r="D34" s="123" t="str">
        <f>+"REF_"&amp;D8</f>
        <v>REF_AGRWST</v>
      </c>
      <c r="E34" s="123" t="str">
        <f>+"Biogas production refinery from "&amp;E8</f>
        <v>Biogas production refinery from Agricultural wastes (straws, stover, vegetable culls)</v>
      </c>
      <c r="F34" s="123" t="str">
        <f t="shared" si="5"/>
        <v>PJ</v>
      </c>
      <c r="G34" s="123" t="s">
        <v>572</v>
      </c>
      <c r="L34" s="450" t="s">
        <v>842</v>
      </c>
      <c r="P34" s="451" t="s">
        <v>557</v>
      </c>
      <c r="Q34" s="451">
        <v>0.6</v>
      </c>
      <c r="R34" s="450">
        <f t="shared" si="3"/>
        <v>0.6</v>
      </c>
      <c r="S34" s="451">
        <v>0.6</v>
      </c>
      <c r="T34" s="451">
        <v>0.7</v>
      </c>
      <c r="V34" t="s">
        <v>678</v>
      </c>
      <c r="W34"/>
      <c r="X34"/>
      <c r="Y34"/>
    </row>
    <row r="35" spans="1:27" ht="18" customHeight="1">
      <c r="B35" s="450" t="s">
        <v>694</v>
      </c>
      <c r="D35" s="123" t="str">
        <f>+"REF_"&amp;D9</f>
        <v>REF_MNCWST</v>
      </c>
      <c r="E35" s="123" t="str">
        <f>+"Biogas production refinery from "&amp;E9</f>
        <v>Biogas production refinery from Municipal solid waste</v>
      </c>
      <c r="F35" s="123" t="str">
        <f t="shared" si="5"/>
        <v>PJ</v>
      </c>
      <c r="G35" s="123" t="s">
        <v>572</v>
      </c>
      <c r="L35" s="450" t="s">
        <v>843</v>
      </c>
      <c r="P35" s="451" t="s">
        <v>558</v>
      </c>
      <c r="Q35" s="451">
        <v>0.2</v>
      </c>
      <c r="R35" s="450">
        <f t="shared" si="3"/>
        <v>0.2</v>
      </c>
      <c r="S35" s="451">
        <v>0.2</v>
      </c>
      <c r="T35" s="451">
        <v>0.2</v>
      </c>
      <c r="V35" t="s">
        <v>679</v>
      </c>
      <c r="W35"/>
      <c r="X35" t="s">
        <v>675</v>
      </c>
      <c r="Y35">
        <v>2.16</v>
      </c>
    </row>
    <row r="36" spans="1:27" ht="18" customHeight="1">
      <c r="B36" s="450" t="s">
        <v>87</v>
      </c>
      <c r="D36" s="123" t="str">
        <f>+"REF_"&amp;D10</f>
        <v>REF_ANMMNR</v>
      </c>
      <c r="E36" s="123" t="str">
        <f>+"Biogas production refinery from "&amp;E10</f>
        <v>Biogas production refinery from Animal manure</v>
      </c>
      <c r="F36" s="123" t="str">
        <f t="shared" si="5"/>
        <v>PJ</v>
      </c>
      <c r="G36" s="123" t="s">
        <v>572</v>
      </c>
      <c r="L36" s="450" t="s">
        <v>30</v>
      </c>
      <c r="M36" s="450" t="s">
        <v>844</v>
      </c>
      <c r="N36" s="450">
        <v>2018</v>
      </c>
      <c r="P36" s="451" t="s">
        <v>559</v>
      </c>
      <c r="Q36" s="451">
        <v>4.5</v>
      </c>
      <c r="R36" s="450">
        <f t="shared" si="3"/>
        <v>4.5</v>
      </c>
      <c r="S36" s="451">
        <v>4.5</v>
      </c>
      <c r="T36" s="451">
        <v>4.5</v>
      </c>
      <c r="V36"/>
      <c r="W36"/>
      <c r="X36" t="s">
        <v>638</v>
      </c>
      <c r="Y36">
        <v>0.69</v>
      </c>
    </row>
    <row r="37" spans="1:27" ht="18" customHeight="1">
      <c r="A37" s="537"/>
      <c r="B37" s="450" t="s">
        <v>87</v>
      </c>
      <c r="D37" s="123" t="s">
        <v>573</v>
      </c>
      <c r="E37" s="123" t="s">
        <v>574</v>
      </c>
      <c r="F37" s="123" t="str">
        <f t="shared" si="5"/>
        <v>PJ</v>
      </c>
      <c r="G37" s="123" t="s">
        <v>572</v>
      </c>
      <c r="L37" s="450" t="s">
        <v>675</v>
      </c>
      <c r="M37" s="450" t="s">
        <v>845</v>
      </c>
      <c r="N37" s="450">
        <v>40.085199115378003</v>
      </c>
      <c r="O37" s="450">
        <f>N37*0.88</f>
        <v>35.274975221532642</v>
      </c>
      <c r="P37" s="451" t="s">
        <v>225</v>
      </c>
      <c r="Q37" s="451">
        <v>57.3</v>
      </c>
      <c r="R37" s="450">
        <f>SUM(R21:R36)</f>
        <v>70.369999999999976</v>
      </c>
      <c r="S37" s="451">
        <v>83.1</v>
      </c>
      <c r="T37" s="451">
        <v>90</v>
      </c>
      <c r="V37"/>
      <c r="W37"/>
      <c r="X37" t="s">
        <v>154</v>
      </c>
      <c r="Y37">
        <f>SUM(Y35:Y36)</f>
        <v>2.85</v>
      </c>
    </row>
    <row r="38" spans="1:27" ht="18" customHeight="1">
      <c r="B38" s="450" t="s">
        <v>87</v>
      </c>
      <c r="D38" s="123" t="str">
        <f>+B73</f>
        <v>CT_CWODPLT</v>
      </c>
      <c r="E38" s="123" t="s">
        <v>577</v>
      </c>
      <c r="F38" s="123" t="str">
        <f t="shared" si="5"/>
        <v>PJ</v>
      </c>
      <c r="G38" s="123" t="s">
        <v>572</v>
      </c>
      <c r="L38" s="450" t="s">
        <v>675</v>
      </c>
      <c r="M38" s="450" t="s">
        <v>846</v>
      </c>
      <c r="N38" s="450">
        <v>40.085199115378003</v>
      </c>
      <c r="O38" s="450">
        <f t="shared" ref="O38:O40" si="7">N38*0.88</f>
        <v>35.274975221532642</v>
      </c>
      <c r="V38"/>
      <c r="W38"/>
      <c r="X38"/>
      <c r="Y38"/>
    </row>
    <row r="39" spans="1:27" ht="18" customHeight="1">
      <c r="B39" s="450" t="s">
        <v>694</v>
      </c>
      <c r="D39" s="123" t="str">
        <f t="shared" ref="D39:D40" si="8">+B74</f>
        <v>CT_CWODBDS</v>
      </c>
      <c r="E39" s="123" t="s">
        <v>578</v>
      </c>
      <c r="F39" s="123" t="str">
        <f t="shared" si="5"/>
        <v>PJ</v>
      </c>
      <c r="G39" s="123" t="s">
        <v>572</v>
      </c>
      <c r="L39" s="450" t="s">
        <v>638</v>
      </c>
      <c r="M39" s="450" t="s">
        <v>845</v>
      </c>
      <c r="N39" s="450">
        <v>3.6183305882352901</v>
      </c>
      <c r="O39" s="450">
        <f t="shared" si="7"/>
        <v>3.1841309176470554</v>
      </c>
      <c r="V39"/>
      <c r="W39"/>
      <c r="X39" s="481" t="s">
        <v>675</v>
      </c>
      <c r="Y39" s="481">
        <f>Y35/Y37</f>
        <v>0.75789473684210529</v>
      </c>
    </row>
    <row r="40" spans="1:27" ht="18" customHeight="1">
      <c r="B40" s="450" t="s">
        <v>87</v>
      </c>
      <c r="D40" s="123" t="str">
        <f t="shared" si="8"/>
        <v>CT_CWODETH</v>
      </c>
      <c r="E40" s="123" t="s">
        <v>579</v>
      </c>
      <c r="F40" s="123" t="str">
        <f t="shared" si="5"/>
        <v>PJ</v>
      </c>
      <c r="G40" s="123" t="s">
        <v>572</v>
      </c>
      <c r="L40" s="450" t="s">
        <v>638</v>
      </c>
      <c r="M40" s="450" t="s">
        <v>846</v>
      </c>
      <c r="N40" s="450">
        <v>3.6183305882352901</v>
      </c>
      <c r="O40" s="450">
        <f t="shared" si="7"/>
        <v>3.1841309176470554</v>
      </c>
      <c r="V40"/>
      <c r="W40"/>
      <c r="X40" s="481" t="s">
        <v>638</v>
      </c>
      <c r="Y40" s="481">
        <f>Y36/Y37</f>
        <v>0.24210526315789471</v>
      </c>
    </row>
    <row r="41" spans="1:27" ht="18" customHeight="1">
      <c r="B41" s="450" t="s">
        <v>87</v>
      </c>
      <c r="D41" s="450" t="s">
        <v>810</v>
      </c>
      <c r="E41" s="123" t="s">
        <v>815</v>
      </c>
      <c r="F41" s="123" t="str">
        <f t="shared" si="5"/>
        <v>PJ</v>
      </c>
      <c r="G41" s="123" t="s">
        <v>572</v>
      </c>
      <c r="L41" s="450" t="s">
        <v>847</v>
      </c>
      <c r="M41" s="450">
        <v>2.6349475630393373</v>
      </c>
      <c r="N41" s="450">
        <v>4.2122187373704172</v>
      </c>
      <c r="O41" s="450">
        <v>5.7544965680140123</v>
      </c>
      <c r="P41" s="450">
        <v>6.7265523095064861</v>
      </c>
      <c r="Q41" s="450">
        <v>9.1999999999999993</v>
      </c>
      <c r="V41"/>
      <c r="W41"/>
      <c r="X41" s="481"/>
      <c r="Y41" s="481"/>
    </row>
    <row r="42" spans="1:27" ht="18" customHeight="1">
      <c r="B42" s="450" t="s">
        <v>87</v>
      </c>
      <c r="D42" s="537" t="s">
        <v>816</v>
      </c>
      <c r="E42" s="123" t="s">
        <v>817</v>
      </c>
      <c r="F42" s="123" t="str">
        <f t="shared" si="5"/>
        <v>PJ</v>
      </c>
      <c r="G42" s="123" t="s">
        <v>572</v>
      </c>
      <c r="V42"/>
      <c r="W42"/>
      <c r="X42" s="481"/>
      <c r="Y42" s="481"/>
    </row>
    <row r="43" spans="1:27" ht="18" customHeight="1">
      <c r="B43" s="450" t="s">
        <v>87</v>
      </c>
      <c r="D43" s="123" t="s">
        <v>635</v>
      </c>
      <c r="E43" s="123" t="s">
        <v>636</v>
      </c>
      <c r="F43" s="123" t="str">
        <f t="shared" si="5"/>
        <v>PJ</v>
      </c>
      <c r="G43" s="123" t="str">
        <f t="shared" ref="G43" si="9">$F$7&amp;"a"</f>
        <v>PJa</v>
      </c>
      <c r="V43"/>
      <c r="W43"/>
      <c r="X43"/>
      <c r="Y43"/>
    </row>
    <row r="44" spans="1:27" ht="18" customHeight="1">
      <c r="B44" s="450" t="s">
        <v>58</v>
      </c>
      <c r="D44" s="123" t="s">
        <v>835</v>
      </c>
      <c r="E44" s="123" t="s">
        <v>840</v>
      </c>
      <c r="F44" s="123" t="s">
        <v>69</v>
      </c>
      <c r="G44" s="123" t="s">
        <v>537</v>
      </c>
      <c r="V44"/>
      <c r="W44"/>
      <c r="X44"/>
      <c r="Y44"/>
    </row>
    <row r="45" spans="1:27" ht="18" customHeight="1">
      <c r="B45" s="450" t="s">
        <v>58</v>
      </c>
      <c r="D45" s="123" t="s">
        <v>848</v>
      </c>
      <c r="E45" s="318" t="s">
        <v>793</v>
      </c>
      <c r="F45" s="123" t="str">
        <f t="shared" ref="F45" si="10">$F$7</f>
        <v>PJ</v>
      </c>
      <c r="G45" s="123" t="str">
        <f t="shared" ref="G45" si="11">$F$7&amp;"a"</f>
        <v>PJa</v>
      </c>
      <c r="V45"/>
      <c r="W45"/>
      <c r="X45"/>
      <c r="Y45"/>
    </row>
    <row r="46" spans="1:27" ht="18" customHeight="1">
      <c r="V46" t="s">
        <v>680</v>
      </c>
      <c r="W46"/>
      <c r="X46"/>
      <c r="Y46"/>
    </row>
    <row r="47" spans="1:27"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27"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$L$61+M41</f>
        <v>2.6349475630393373</v>
      </c>
      <c r="N61" s="453">
        <f>$L$61+N41</f>
        <v>4.2122187373704172</v>
      </c>
      <c r="O61" s="453">
        <f>$L$61+O41</f>
        <v>5.7544965680140123</v>
      </c>
      <c r="P61" s="453">
        <f>$L$61+P41</f>
        <v>6.7265523095064861</v>
      </c>
      <c r="Q61" s="453">
        <f>$L$61+Q41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12">+M66*5%</f>
        <v>74.5</v>
      </c>
      <c r="U66" s="531">
        <f t="shared" si="12"/>
        <v>74.5</v>
      </c>
      <c r="V66" s="531">
        <f t="shared" si="12"/>
        <v>74.5</v>
      </c>
      <c r="W66" s="531">
        <f t="shared" si="12"/>
        <v>74.5</v>
      </c>
      <c r="X66" s="531">
        <f t="shared" si="12"/>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3">+L67*5%</f>
        <v>89.4</v>
      </c>
      <c r="T67" s="531">
        <f t="shared" si="12"/>
        <v>89.4</v>
      </c>
      <c r="U67" s="531">
        <f t="shared" si="12"/>
        <v>89.4</v>
      </c>
      <c r="V67" s="531">
        <f t="shared" si="12"/>
        <v>89.4</v>
      </c>
      <c r="W67" s="531">
        <f t="shared" si="12"/>
        <v>89.4</v>
      </c>
      <c r="X67" s="531">
        <f t="shared" si="12"/>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3"/>
        <v>73.754999999999995</v>
      </c>
      <c r="T68" s="531">
        <f t="shared" si="12"/>
        <v>72.264999999999986</v>
      </c>
      <c r="U68" s="531">
        <f t="shared" si="12"/>
        <v>70.775000000000006</v>
      </c>
      <c r="V68" s="531">
        <f t="shared" si="12"/>
        <v>70.775000000000006</v>
      </c>
      <c r="W68" s="531">
        <f t="shared" si="12"/>
        <v>70.775000000000006</v>
      </c>
      <c r="X68" s="531">
        <f t="shared" si="12"/>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3"/>
        <v>104.30000000000001</v>
      </c>
      <c r="T69" s="531">
        <f t="shared" si="12"/>
        <v>96.850000000000009</v>
      </c>
      <c r="U69" s="531">
        <f t="shared" si="12"/>
        <v>89.4</v>
      </c>
      <c r="V69" s="531">
        <f t="shared" si="12"/>
        <v>81.95</v>
      </c>
      <c r="W69" s="531">
        <f t="shared" si="12"/>
        <v>74.5</v>
      </c>
      <c r="X69" s="531">
        <f t="shared" si="12"/>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4">+M73*5%</f>
        <v>52.150000000000006</v>
      </c>
      <c r="U73" s="531">
        <f t="shared" si="14"/>
        <v>52.150000000000006</v>
      </c>
      <c r="V73" s="531">
        <f t="shared" si="14"/>
        <v>52.150000000000006</v>
      </c>
      <c r="W73" s="531">
        <f t="shared" si="14"/>
        <v>52.150000000000006</v>
      </c>
      <c r="X73" s="531">
        <f t="shared" si="14"/>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5">+L74*5%</f>
        <v>163.9</v>
      </c>
      <c r="T74" s="531">
        <f t="shared" si="14"/>
        <v>163.9</v>
      </c>
      <c r="U74" s="531">
        <f t="shared" si="14"/>
        <v>163.9</v>
      </c>
      <c r="V74" s="531">
        <f t="shared" si="14"/>
        <v>163.9</v>
      </c>
      <c r="W74" s="531">
        <f t="shared" si="14"/>
        <v>163.9</v>
      </c>
      <c r="X74" s="531">
        <f t="shared" si="14"/>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5"/>
        <v>149.01841573033707</v>
      </c>
      <c r="T75" s="531">
        <f t="shared" si="14"/>
        <v>149.01841573033707</v>
      </c>
      <c r="U75" s="531">
        <f t="shared" si="14"/>
        <v>149.01841573033707</v>
      </c>
      <c r="V75" s="531">
        <f t="shared" si="14"/>
        <v>149.01841573033707</v>
      </c>
      <c r="W75" s="531">
        <f t="shared" si="14"/>
        <v>149.01841573033707</v>
      </c>
      <c r="X75" s="531">
        <f t="shared" si="14"/>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6">+F73</f>
        <v>0.84000000000000008</v>
      </c>
      <c r="G76" s="535">
        <f t="shared" si="16"/>
        <v>0.84000000000000008</v>
      </c>
      <c r="H76" s="535">
        <f t="shared" si="16"/>
        <v>0.84000000000000008</v>
      </c>
      <c r="I76" s="535">
        <f t="shared" si="16"/>
        <v>0.84000000000000008</v>
      </c>
      <c r="J76" s="535">
        <f t="shared" si="16"/>
        <v>0.84000000000000008</v>
      </c>
      <c r="K76" s="529">
        <v>3</v>
      </c>
      <c r="L76" s="530">
        <v>3278</v>
      </c>
      <c r="M76" s="530">
        <v>3278</v>
      </c>
      <c r="N76" s="530">
        <v>3278</v>
      </c>
      <c r="O76" s="530">
        <v>3278</v>
      </c>
      <c r="P76" s="530">
        <v>3278</v>
      </c>
      <c r="Q76" s="530">
        <v>3278</v>
      </c>
      <c r="R76" s="530">
        <v>3</v>
      </c>
      <c r="S76" s="531">
        <f t="shared" si="15"/>
        <v>163.9</v>
      </c>
      <c r="T76" s="531">
        <f t="shared" si="14"/>
        <v>163.9</v>
      </c>
      <c r="U76" s="531">
        <f t="shared" si="14"/>
        <v>163.9</v>
      </c>
      <c r="V76" s="531">
        <f t="shared" si="14"/>
        <v>163.9</v>
      </c>
      <c r="W76" s="531">
        <f t="shared" si="14"/>
        <v>163.9</v>
      </c>
      <c r="X76" s="531">
        <f t="shared" si="14"/>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7">V94</f>
        <v>372.26184616943993</v>
      </c>
      <c r="X94" s="447">
        <f t="shared" si="17"/>
        <v>372.26184616943993</v>
      </c>
      <c r="Y94" s="447">
        <f t="shared" si="17"/>
        <v>372.26184616943993</v>
      </c>
      <c r="Z94" s="447">
        <f t="shared" si="17"/>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F37" sqref="F37"/>
    </sheetView>
  </sheetViews>
  <sheetFormatPr defaultRowHeight="12.5"/>
  <cols>
    <col min="3" max="3" width="11.26953125" bestFit="1" customWidth="1"/>
    <col min="4" max="4" width="38.54296875" customWidth="1"/>
    <col min="5" max="5" width="13.453125" customWidth="1"/>
    <col min="6" max="6" width="24.1796875" customWidth="1"/>
    <col min="14" max="19" width="10.54296875" bestFit="1" customWidth="1"/>
    <col min="44" max="44" width="9.1796875"/>
  </cols>
  <sheetData>
    <row r="2" spans="3:11" ht="13">
      <c r="C2" s="102"/>
      <c r="D2" s="102"/>
      <c r="E2" s="103"/>
      <c r="F2" s="103"/>
      <c r="G2" s="103"/>
      <c r="H2" s="103"/>
      <c r="I2" s="103"/>
      <c r="J2" s="103"/>
      <c r="K2" s="103"/>
    </row>
    <row r="3" spans="3:11" ht="13">
      <c r="C3" s="104" t="s">
        <v>7</v>
      </c>
      <c r="D3" s="105" t="s">
        <v>30</v>
      </c>
      <c r="E3" s="104" t="s">
        <v>0</v>
      </c>
      <c r="F3" s="104" t="s">
        <v>3</v>
      </c>
      <c r="G3" s="104" t="s">
        <v>4</v>
      </c>
      <c r="H3" s="104" t="s">
        <v>8</v>
      </c>
      <c r="I3" s="104" t="s">
        <v>9</v>
      </c>
      <c r="J3" s="104" t="s">
        <v>10</v>
      </c>
      <c r="K3" s="104" t="s">
        <v>12</v>
      </c>
    </row>
    <row r="4" spans="3:11" ht="36.5" thickBot="1">
      <c r="C4" s="106" t="s">
        <v>37</v>
      </c>
      <c r="D4" s="106" t="s">
        <v>31</v>
      </c>
      <c r="E4" s="106" t="s">
        <v>26</v>
      </c>
      <c r="F4" s="106" t="s">
        <v>27</v>
      </c>
      <c r="G4" s="106" t="s">
        <v>4</v>
      </c>
      <c r="H4" s="106" t="s">
        <v>40</v>
      </c>
      <c r="I4" s="106" t="s">
        <v>41</v>
      </c>
      <c r="J4" s="106" t="s">
        <v>28</v>
      </c>
      <c r="K4" s="106" t="s">
        <v>29</v>
      </c>
    </row>
    <row r="5" spans="3:11" ht="13">
      <c r="C5" s="99" t="s">
        <v>65</v>
      </c>
      <c r="D5" s="99"/>
      <c r="E5" s="99" t="s">
        <v>443</v>
      </c>
      <c r="F5" s="99" t="s">
        <v>408</v>
      </c>
      <c r="G5" s="99" t="s">
        <v>69</v>
      </c>
      <c r="H5" s="99" t="s">
        <v>584</v>
      </c>
      <c r="I5" s="103" t="s">
        <v>92</v>
      </c>
      <c r="J5" s="99"/>
      <c r="K5" s="99"/>
    </row>
    <row r="6" spans="3:11" ht="13">
      <c r="C6" s="99" t="s">
        <v>65</v>
      </c>
      <c r="D6" s="99"/>
      <c r="E6" s="99" t="s">
        <v>441</v>
      </c>
      <c r="F6" s="99" t="s">
        <v>442</v>
      </c>
      <c r="G6" s="99" t="s">
        <v>69</v>
      </c>
      <c r="H6" s="99" t="s">
        <v>584</v>
      </c>
      <c r="I6" s="103" t="s">
        <v>92</v>
      </c>
      <c r="J6" s="99"/>
      <c r="K6" s="99"/>
    </row>
    <row r="7" spans="3:11" ht="13">
      <c r="C7" s="143" t="s">
        <v>146</v>
      </c>
      <c r="D7" s="143"/>
      <c r="E7" s="99" t="s">
        <v>682</v>
      </c>
      <c r="F7" s="99" t="s">
        <v>683</v>
      </c>
      <c r="G7" s="99" t="s">
        <v>86</v>
      </c>
      <c r="H7" s="99"/>
      <c r="I7" s="99"/>
      <c r="J7" s="99"/>
      <c r="K7" s="99"/>
    </row>
    <row r="8" spans="3:11" ht="13">
      <c r="C8" s="143"/>
      <c r="D8" s="143"/>
      <c r="E8" s="99"/>
      <c r="F8" s="99"/>
      <c r="G8" s="99"/>
      <c r="H8" s="99"/>
      <c r="I8" s="99"/>
      <c r="J8" s="99"/>
      <c r="K8" s="99"/>
    </row>
    <row r="9" spans="3:11" ht="13">
      <c r="C9" s="102"/>
      <c r="D9" s="102"/>
      <c r="E9" s="103"/>
      <c r="F9" s="103"/>
      <c r="G9" s="103"/>
      <c r="H9" s="103"/>
      <c r="I9" s="103"/>
      <c r="J9" s="103"/>
      <c r="K9" s="103"/>
    </row>
    <row r="10" spans="3:11" ht="13">
      <c r="C10" s="104" t="s">
        <v>11</v>
      </c>
      <c r="D10" s="105" t="s">
        <v>30</v>
      </c>
      <c r="E10" s="104" t="s">
        <v>1</v>
      </c>
      <c r="F10" s="104" t="s">
        <v>2</v>
      </c>
      <c r="G10" s="104" t="s">
        <v>16</v>
      </c>
      <c r="H10" s="104" t="s">
        <v>17</v>
      </c>
      <c r="I10" s="104" t="s">
        <v>18</v>
      </c>
      <c r="J10" s="104" t="s">
        <v>19</v>
      </c>
      <c r="K10" s="104" t="s">
        <v>20</v>
      </c>
    </row>
    <row r="11" spans="3:11" ht="48.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ht="13">
      <c r="C14" s="103" t="s">
        <v>87</v>
      </c>
      <c r="E14" t="str">
        <f>C26</f>
        <v>SUP_H2NGA</v>
      </c>
      <c r="F14" t="str">
        <f>D26</f>
        <v>H2 methanisation to natural gas (CO2 from DAC)</v>
      </c>
      <c r="G14" s="103" t="s">
        <v>69</v>
      </c>
      <c r="H14" s="103" t="s">
        <v>411</v>
      </c>
      <c r="I14" s="103" t="s">
        <v>92</v>
      </c>
    </row>
    <row r="15" spans="3:11" ht="13">
      <c r="C15" s="103" t="s">
        <v>87</v>
      </c>
      <c r="E15" t="str">
        <f>+C28</f>
        <v>SUP_H2NGA_CCS</v>
      </c>
      <c r="F15" t="str">
        <f>+D28</f>
        <v>H2 methanisation to natural gas (CO2 from CCS)</v>
      </c>
      <c r="G15" s="103" t="s">
        <v>69</v>
      </c>
      <c r="H15" s="103" t="s">
        <v>411</v>
      </c>
      <c r="I15" s="103" t="s">
        <v>92</v>
      </c>
    </row>
    <row r="16" spans="3:11" ht="13">
      <c r="C16" s="103" t="s">
        <v>87</v>
      </c>
      <c r="E16" t="str">
        <f>Distr_H2!B8</f>
        <v>D-ENGA</v>
      </c>
      <c r="F16" t="str">
        <f>Distr_H2!C8</f>
        <v>Natural gas T&amp;D to power &amp; heat sectors</v>
      </c>
      <c r="G16" s="103" t="s">
        <v>69</v>
      </c>
      <c r="H16" s="103" t="s">
        <v>411</v>
      </c>
      <c r="I16" s="103" t="s">
        <v>92</v>
      </c>
    </row>
    <row r="17" spans="3:45" ht="13">
      <c r="C17" s="103" t="s">
        <v>87</v>
      </c>
      <c r="E17" t="s">
        <v>612</v>
      </c>
      <c r="F17" t="s">
        <v>613</v>
      </c>
      <c r="G17" s="103" t="s">
        <v>69</v>
      </c>
      <c r="H17" s="103" t="s">
        <v>411</v>
      </c>
      <c r="I17" s="103" t="s">
        <v>92</v>
      </c>
    </row>
    <row r="18" spans="3:45" ht="13">
      <c r="C18" s="103" t="s">
        <v>58</v>
      </c>
      <c r="E18" t="str">
        <f>+C18&amp;"_"&amp;E7</f>
        <v>MIN_DAC_CO2</v>
      </c>
      <c r="F18" t="s">
        <v>686</v>
      </c>
      <c r="G18" s="103" t="s">
        <v>86</v>
      </c>
      <c r="H18" s="103" t="s">
        <v>687</v>
      </c>
      <c r="I18" s="103"/>
    </row>
    <row r="19" spans="3:45" ht="13">
      <c r="C19" s="103"/>
      <c r="G19" s="103"/>
      <c r="H19" s="103"/>
      <c r="N19" t="s">
        <v>661</v>
      </c>
    </row>
    <row r="21" spans="3:45">
      <c r="F21" s="339"/>
      <c r="G21" s="339"/>
    </row>
    <row r="22" spans="3:45" ht="21">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0.5"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4.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4.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4.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4.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4.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 thickBot="1"/>
    <row r="34" spans="1:24" ht="13"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4.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A40" zoomScale="80" zoomScaleNormal="80" workbookViewId="0">
      <selection activeCell="F74" sqref="F74"/>
    </sheetView>
  </sheetViews>
  <sheetFormatPr defaultRowHeight="12.5"/>
  <cols>
    <col min="3" max="3" width="16" customWidth="1"/>
    <col min="4" max="4" width="17" customWidth="1"/>
    <col min="5" max="5" width="20.1796875" customWidth="1"/>
    <col min="6" max="6" width="50.453125" bestFit="1" customWidth="1"/>
    <col min="16" max="16" width="20.26953125" customWidth="1"/>
  </cols>
  <sheetData>
    <row r="2" spans="3:22" ht="13">
      <c r="C2" s="102" t="s">
        <v>14</v>
      </c>
      <c r="D2" s="102"/>
      <c r="E2" s="103"/>
      <c r="F2" s="103"/>
      <c r="G2" s="103"/>
      <c r="H2" s="103"/>
      <c r="I2" s="103"/>
      <c r="J2" s="103"/>
      <c r="K2" s="103"/>
      <c r="N2" s="102" t="s">
        <v>15</v>
      </c>
      <c r="O2" s="102"/>
      <c r="P2" s="103"/>
      <c r="Q2" s="103"/>
      <c r="R2" s="103"/>
      <c r="S2" s="103"/>
      <c r="T2" s="103"/>
      <c r="U2" s="103"/>
      <c r="V2" s="103"/>
    </row>
    <row r="3" spans="3:22" ht="13">
      <c r="C3" s="104" t="s">
        <v>7</v>
      </c>
      <c r="D3" s="105" t="s">
        <v>30</v>
      </c>
      <c r="E3" s="104" t="s">
        <v>0</v>
      </c>
      <c r="F3" s="104" t="s">
        <v>3</v>
      </c>
      <c r="G3" s="104" t="s">
        <v>4</v>
      </c>
      <c r="H3" s="104" t="s">
        <v>8</v>
      </c>
      <c r="I3" s="104" t="s">
        <v>9</v>
      </c>
      <c r="J3" s="104" t="s">
        <v>10</v>
      </c>
      <c r="K3" s="104" t="s">
        <v>12</v>
      </c>
      <c r="N3" s="104" t="s">
        <v>11</v>
      </c>
      <c r="O3" s="105" t="s">
        <v>30</v>
      </c>
      <c r="P3" s="104" t="s">
        <v>1</v>
      </c>
      <c r="Q3" s="104" t="s">
        <v>2</v>
      </c>
      <c r="R3" s="104" t="s">
        <v>16</v>
      </c>
      <c r="S3" s="104" t="s">
        <v>17</v>
      </c>
      <c r="T3" s="104" t="s">
        <v>18</v>
      </c>
      <c r="U3" s="104" t="s">
        <v>19</v>
      </c>
      <c r="V3" s="104" t="s">
        <v>20</v>
      </c>
    </row>
    <row r="4" spans="3:22" ht="48.5" thickBot="1">
      <c r="C4" s="106" t="s">
        <v>37</v>
      </c>
      <c r="D4" s="106" t="s">
        <v>31</v>
      </c>
      <c r="E4" s="106" t="s">
        <v>26</v>
      </c>
      <c r="F4" s="106" t="s">
        <v>27</v>
      </c>
      <c r="G4" s="106" t="s">
        <v>4</v>
      </c>
      <c r="H4" s="106" t="s">
        <v>40</v>
      </c>
      <c r="I4" s="106" t="s">
        <v>41</v>
      </c>
      <c r="J4" s="106" t="s">
        <v>28</v>
      </c>
      <c r="K4" s="106" t="s">
        <v>29</v>
      </c>
      <c r="N4" s="106" t="s">
        <v>38</v>
      </c>
      <c r="O4" s="106" t="s">
        <v>31</v>
      </c>
      <c r="P4" s="106" t="s">
        <v>21</v>
      </c>
      <c r="Q4" s="106" t="s">
        <v>22</v>
      </c>
      <c r="R4" s="106" t="s">
        <v>23</v>
      </c>
      <c r="S4" s="106" t="s">
        <v>24</v>
      </c>
      <c r="T4" s="106" t="s">
        <v>43</v>
      </c>
      <c r="U4" s="106" t="s">
        <v>42</v>
      </c>
      <c r="V4" s="106" t="s">
        <v>25</v>
      </c>
    </row>
    <row r="5" spans="3:22" ht="13.5" thickBot="1">
      <c r="C5" s="99" t="s">
        <v>65</v>
      </c>
      <c r="D5" s="99"/>
      <c r="E5" s="99" t="s">
        <v>725</v>
      </c>
      <c r="F5" s="99" t="s">
        <v>736</v>
      </c>
      <c r="G5" s="99" t="s">
        <v>69</v>
      </c>
      <c r="H5" s="99" t="s">
        <v>584</v>
      </c>
      <c r="I5" s="103" t="s">
        <v>92</v>
      </c>
      <c r="J5" s="99"/>
      <c r="K5" s="99"/>
      <c r="N5" s="106" t="s">
        <v>73</v>
      </c>
      <c r="O5" s="106"/>
      <c r="P5" s="106"/>
      <c r="Q5" s="106"/>
      <c r="R5" s="106"/>
      <c r="S5" s="106"/>
      <c r="T5" s="106"/>
      <c r="U5" s="106"/>
      <c r="V5" s="106"/>
    </row>
    <row r="6" spans="3:22" ht="13">
      <c r="C6" s="99" t="s">
        <v>65</v>
      </c>
      <c r="D6" s="99"/>
      <c r="E6" s="99" t="s">
        <v>727</v>
      </c>
      <c r="F6" s="99" t="s">
        <v>737</v>
      </c>
      <c r="G6" s="99" t="s">
        <v>69</v>
      </c>
      <c r="H6" s="99" t="s">
        <v>584</v>
      </c>
      <c r="I6" s="103" t="s">
        <v>92</v>
      </c>
      <c r="J6" s="99"/>
      <c r="K6" s="99"/>
      <c r="N6" s="103" t="s">
        <v>87</v>
      </c>
      <c r="O6" s="103"/>
      <c r="P6" s="103" t="str">
        <f>+C34</f>
        <v>SUP_ELC-PEMC-H2</v>
      </c>
      <c r="Q6" s="103" t="str">
        <f>+D34</f>
        <v>H2 production from PEM electrolysis - centralised</v>
      </c>
      <c r="R6" s="103" t="s">
        <v>69</v>
      </c>
      <c r="S6" s="103" t="s">
        <v>411</v>
      </c>
      <c r="T6" s="103" t="s">
        <v>92</v>
      </c>
      <c r="U6" s="103"/>
      <c r="V6" s="103"/>
    </row>
    <row r="7" spans="3:22" ht="13">
      <c r="C7" s="99" t="s">
        <v>65</v>
      </c>
      <c r="D7" s="99"/>
      <c r="E7" s="99" t="s">
        <v>443</v>
      </c>
      <c r="F7" s="99" t="s">
        <v>738</v>
      </c>
      <c r="G7" s="99" t="s">
        <v>69</v>
      </c>
      <c r="H7" s="99" t="s">
        <v>584</v>
      </c>
      <c r="I7" s="103" t="s">
        <v>92</v>
      </c>
      <c r="J7" s="99"/>
      <c r="K7" s="99"/>
      <c r="N7" s="103" t="s">
        <v>87</v>
      </c>
      <c r="P7" t="str">
        <f>+C36</f>
        <v>SUP_ELC-PEMD-H2</v>
      </c>
      <c r="Q7" t="str">
        <f>+D36</f>
        <v>H2 production from PEM electrolysis - decentralised</v>
      </c>
      <c r="R7" s="103" t="s">
        <v>69</v>
      </c>
      <c r="S7" s="103" t="s">
        <v>411</v>
      </c>
      <c r="T7" s="103" t="s">
        <v>92</v>
      </c>
    </row>
    <row r="8" spans="3:22" ht="13">
      <c r="C8" s="99" t="s">
        <v>65</v>
      </c>
      <c r="D8" s="99"/>
      <c r="E8" s="99" t="s">
        <v>670</v>
      </c>
      <c r="F8" s="99" t="s">
        <v>442</v>
      </c>
      <c r="G8" s="99" t="s">
        <v>69</v>
      </c>
      <c r="H8" s="99" t="s">
        <v>584</v>
      </c>
      <c r="I8" s="103" t="s">
        <v>92</v>
      </c>
      <c r="J8" s="99"/>
      <c r="K8" s="99"/>
      <c r="N8" s="103" t="s">
        <v>87</v>
      </c>
      <c r="P8" t="str">
        <f>+C37</f>
        <v>\I:SUP_ELC-SOECC-H2</v>
      </c>
      <c r="Q8" t="str">
        <f>+D37</f>
        <v>H2 production from SOEC electrolysis - centralised</v>
      </c>
      <c r="R8" s="103" t="s">
        <v>69</v>
      </c>
      <c r="S8" s="103" t="s">
        <v>411</v>
      </c>
      <c r="T8" s="103" t="s">
        <v>92</v>
      </c>
    </row>
    <row r="9" spans="3:22" ht="13">
      <c r="C9" s="99" t="s">
        <v>65</v>
      </c>
      <c r="D9" s="143"/>
      <c r="E9" s="99" t="s">
        <v>682</v>
      </c>
      <c r="F9" s="99" t="s">
        <v>683</v>
      </c>
      <c r="G9" s="99" t="s">
        <v>86</v>
      </c>
      <c r="H9" s="99"/>
      <c r="I9" s="99"/>
      <c r="J9" s="99"/>
      <c r="K9" s="99"/>
      <c r="N9" s="103" t="s">
        <v>87</v>
      </c>
      <c r="P9" t="str">
        <f>+C39</f>
        <v>\I:SUP_ELC-SOECD-H2</v>
      </c>
      <c r="Q9" t="str">
        <f>+D39</f>
        <v>H2 production from SOEC electrolysis - decentralised</v>
      </c>
      <c r="R9" s="103" t="s">
        <v>69</v>
      </c>
      <c r="S9" s="103" t="s">
        <v>411</v>
      </c>
      <c r="T9" s="103" t="s">
        <v>92</v>
      </c>
    </row>
    <row r="10" spans="3:22" ht="13">
      <c r="C10" s="99" t="s">
        <v>65</v>
      </c>
      <c r="D10" s="143"/>
      <c r="E10" s="99" t="s">
        <v>757</v>
      </c>
      <c r="F10" s="99" t="s">
        <v>771</v>
      </c>
      <c r="G10" s="99" t="s">
        <v>69</v>
      </c>
      <c r="H10" s="99" t="s">
        <v>584</v>
      </c>
      <c r="I10" s="103" t="s">
        <v>92</v>
      </c>
      <c r="J10" s="99"/>
      <c r="K10" s="99"/>
      <c r="N10" s="103" t="s">
        <v>87</v>
      </c>
      <c r="P10" t="str">
        <f>+C40</f>
        <v>SUP_H2NGA</v>
      </c>
      <c r="Q10" t="str">
        <f>+D40</f>
        <v>H2 methanisation to natural gas (CO2 from DAC)</v>
      </c>
      <c r="R10" s="103" t="s">
        <v>69</v>
      </c>
      <c r="S10" s="103" t="s">
        <v>411</v>
      </c>
      <c r="T10" s="103" t="s">
        <v>92</v>
      </c>
    </row>
    <row r="11" spans="3:22" ht="13">
      <c r="C11" s="99" t="s">
        <v>65</v>
      </c>
      <c r="E11" s="99" t="s">
        <v>761</v>
      </c>
      <c r="F11" s="99" t="s">
        <v>772</v>
      </c>
      <c r="G11" s="99" t="s">
        <v>69</v>
      </c>
      <c r="H11" s="99" t="s">
        <v>584</v>
      </c>
      <c r="I11" s="103" t="s">
        <v>92</v>
      </c>
      <c r="N11" s="103" t="s">
        <v>87</v>
      </c>
      <c r="P11" t="str">
        <f>+C42</f>
        <v>SUP_H2NGA_CCS</v>
      </c>
      <c r="Q11" t="str">
        <f>+D42</f>
        <v>H2 methanisation to natural gas (CO2 from CCS)</v>
      </c>
      <c r="R11" s="103" t="s">
        <v>69</v>
      </c>
      <c r="S11" s="103" t="s">
        <v>411</v>
      </c>
      <c r="T11" s="103" t="s">
        <v>92</v>
      </c>
    </row>
    <row r="12" spans="3:22" ht="13">
      <c r="C12" s="99" t="s">
        <v>65</v>
      </c>
      <c r="E12" s="99" t="s">
        <v>764</v>
      </c>
      <c r="F12" s="99" t="s">
        <v>773</v>
      </c>
      <c r="G12" s="99" t="s">
        <v>69</v>
      </c>
      <c r="H12" s="99" t="s">
        <v>584</v>
      </c>
      <c r="I12" s="103" t="s">
        <v>92</v>
      </c>
      <c r="N12" s="103" t="s">
        <v>87</v>
      </c>
      <c r="P12" t="str">
        <f>+C43</f>
        <v>\I:SUP_SMRH2</v>
      </c>
      <c r="Q12" t="str">
        <f>+D43</f>
        <v>H2 production from natural gas (steam methane reforming with CCS)</v>
      </c>
      <c r="R12" s="103" t="s">
        <v>69</v>
      </c>
      <c r="S12" s="103" t="s">
        <v>411</v>
      </c>
      <c r="T12" s="103" t="s">
        <v>92</v>
      </c>
    </row>
    <row r="13" spans="3:22" ht="13">
      <c r="C13" s="99" t="s">
        <v>65</v>
      </c>
      <c r="E13" s="99" t="s">
        <v>766</v>
      </c>
      <c r="F13" s="99" t="s">
        <v>774</v>
      </c>
      <c r="G13" s="99" t="s">
        <v>69</v>
      </c>
      <c r="H13" s="99" t="s">
        <v>584</v>
      </c>
      <c r="I13" s="103" t="s">
        <v>92</v>
      </c>
      <c r="N13" s="103" t="s">
        <v>58</v>
      </c>
      <c r="P13" t="s">
        <v>732</v>
      </c>
      <c r="Q13" t="s">
        <v>686</v>
      </c>
      <c r="R13" s="103" t="s">
        <v>86</v>
      </c>
      <c r="S13" s="103" t="s">
        <v>687</v>
      </c>
      <c r="T13" s="103"/>
    </row>
    <row r="14" spans="3:22" ht="13">
      <c r="C14" s="99" t="s">
        <v>65</v>
      </c>
      <c r="E14" s="99" t="s">
        <v>769</v>
      </c>
      <c r="F14" s="99" t="s">
        <v>775</v>
      </c>
      <c r="G14" s="99" t="s">
        <v>69</v>
      </c>
      <c r="H14" s="99" t="s">
        <v>584</v>
      </c>
      <c r="I14" s="103" t="s">
        <v>92</v>
      </c>
      <c r="N14" s="103" t="s">
        <v>87</v>
      </c>
      <c r="P14" t="s">
        <v>756</v>
      </c>
      <c r="Q14" t="s">
        <v>776</v>
      </c>
      <c r="R14" s="103" t="s">
        <v>69</v>
      </c>
      <c r="S14" s="103" t="s">
        <v>106</v>
      </c>
      <c r="T14" s="103" t="s">
        <v>92</v>
      </c>
    </row>
    <row r="15" spans="3:22" ht="13">
      <c r="C15" s="99" t="s">
        <v>65</v>
      </c>
      <c r="E15" s="99" t="s">
        <v>827</v>
      </c>
      <c r="F15" s="99" t="s">
        <v>828</v>
      </c>
      <c r="G15" s="99" t="s">
        <v>69</v>
      </c>
      <c r="H15" s="99" t="s">
        <v>584</v>
      </c>
      <c r="I15" s="103" t="s">
        <v>92</v>
      </c>
      <c r="N15" s="103" t="s">
        <v>87</v>
      </c>
      <c r="P15" t="s">
        <v>759</v>
      </c>
      <c r="Q15" t="s">
        <v>777</v>
      </c>
      <c r="R15" s="103" t="s">
        <v>69</v>
      </c>
      <c r="S15" s="103" t="s">
        <v>106</v>
      </c>
      <c r="T15" s="103" t="s">
        <v>92</v>
      </c>
    </row>
    <row r="16" spans="3:22" ht="13">
      <c r="C16" s="99" t="s">
        <v>65</v>
      </c>
      <c r="D16" s="143"/>
      <c r="E16" s="99" t="s">
        <v>731</v>
      </c>
      <c r="F16" s="99" t="s">
        <v>789</v>
      </c>
      <c r="G16" s="99" t="s">
        <v>86</v>
      </c>
      <c r="N16" s="103" t="s">
        <v>87</v>
      </c>
      <c r="P16" t="s">
        <v>760</v>
      </c>
      <c r="Q16" t="s">
        <v>778</v>
      </c>
      <c r="R16" s="103" t="s">
        <v>69</v>
      </c>
      <c r="S16" s="103" t="s">
        <v>106</v>
      </c>
      <c r="T16" s="103" t="s">
        <v>92</v>
      </c>
    </row>
    <row r="17" spans="6:20" ht="13">
      <c r="N17" s="103" t="s">
        <v>87</v>
      </c>
      <c r="P17" t="s">
        <v>762</v>
      </c>
      <c r="Q17" t="s">
        <v>779</v>
      </c>
      <c r="R17" s="103" t="s">
        <v>69</v>
      </c>
      <c r="S17" s="103" t="s">
        <v>106</v>
      </c>
      <c r="T17" s="103" t="s">
        <v>92</v>
      </c>
    </row>
    <row r="18" spans="6:20" ht="13">
      <c r="N18" s="103" t="s">
        <v>87</v>
      </c>
      <c r="P18" t="s">
        <v>763</v>
      </c>
      <c r="Q18" t="s">
        <v>780</v>
      </c>
      <c r="R18" s="103" t="s">
        <v>69</v>
      </c>
      <c r="S18" s="103" t="s">
        <v>106</v>
      </c>
      <c r="T18" s="103" t="s">
        <v>92</v>
      </c>
    </row>
    <row r="19" spans="6:20" ht="13">
      <c r="N19" s="103" t="s">
        <v>87</v>
      </c>
      <c r="P19" t="s">
        <v>765</v>
      </c>
      <c r="Q19" t="s">
        <v>781</v>
      </c>
      <c r="R19" s="103" t="s">
        <v>69</v>
      </c>
      <c r="S19" s="103" t="s">
        <v>106</v>
      </c>
      <c r="T19" s="103" t="s">
        <v>92</v>
      </c>
    </row>
    <row r="20" spans="6:20" ht="13">
      <c r="N20" s="103" t="s">
        <v>87</v>
      </c>
      <c r="P20" t="s">
        <v>767</v>
      </c>
      <c r="Q20" t="s">
        <v>782</v>
      </c>
      <c r="R20" s="103" t="s">
        <v>69</v>
      </c>
      <c r="S20" s="103" t="s">
        <v>106</v>
      </c>
      <c r="T20" s="103" t="s">
        <v>92</v>
      </c>
    </row>
    <row r="21" spans="6:20" ht="13">
      <c r="N21" s="103" t="s">
        <v>87</v>
      </c>
      <c r="P21" t="s">
        <v>768</v>
      </c>
      <c r="Q21" t="s">
        <v>783</v>
      </c>
      <c r="R21" s="103" t="s">
        <v>69</v>
      </c>
      <c r="S21" s="103" t="s">
        <v>106</v>
      </c>
      <c r="T21" s="103" t="s">
        <v>92</v>
      </c>
    </row>
    <row r="22" spans="6:20" ht="13">
      <c r="N22" s="103" t="s">
        <v>87</v>
      </c>
      <c r="P22" t="s">
        <v>770</v>
      </c>
      <c r="Q22" t="s">
        <v>784</v>
      </c>
      <c r="R22" s="103" t="s">
        <v>69</v>
      </c>
      <c r="S22" s="103" t="s">
        <v>106</v>
      </c>
      <c r="T22" s="103" t="s">
        <v>92</v>
      </c>
    </row>
    <row r="23" spans="6:20" ht="13">
      <c r="N23" s="103" t="s">
        <v>87</v>
      </c>
      <c r="P23" t="str">
        <f>+C89</f>
        <v>FTE_AGRH2R</v>
      </c>
      <c r="Q23" t="s">
        <v>830</v>
      </c>
      <c r="R23" s="103" t="s">
        <v>69</v>
      </c>
      <c r="S23" s="103" t="s">
        <v>106</v>
      </c>
      <c r="T23" s="103" t="s">
        <v>92</v>
      </c>
    </row>
    <row r="24" spans="6:20" ht="13">
      <c r="N24" s="103" t="s">
        <v>87</v>
      </c>
      <c r="P24" t="str">
        <f>+C90</f>
        <v>FTE_AGRH2D</v>
      </c>
      <c r="Q24" t="s">
        <v>829</v>
      </c>
      <c r="R24" s="103" t="s">
        <v>69</v>
      </c>
      <c r="S24" s="103" t="s">
        <v>106</v>
      </c>
      <c r="T24" s="103" t="s">
        <v>92</v>
      </c>
    </row>
    <row r="25" spans="6:20" ht="13">
      <c r="N25" s="103" t="s">
        <v>87</v>
      </c>
      <c r="P25" t="s">
        <v>788</v>
      </c>
      <c r="Q25" t="s">
        <v>440</v>
      </c>
      <c r="R25" s="103" t="s">
        <v>69</v>
      </c>
      <c r="S25" s="103" t="s">
        <v>411</v>
      </c>
      <c r="T25" s="103" t="s">
        <v>92</v>
      </c>
    </row>
    <row r="26" spans="6:20" ht="13">
      <c r="N26" s="103" t="s">
        <v>852</v>
      </c>
      <c r="P26" t="s">
        <v>785</v>
      </c>
      <c r="Q26" t="s">
        <v>748</v>
      </c>
      <c r="R26" s="103" t="s">
        <v>69</v>
      </c>
      <c r="S26" s="103" t="s">
        <v>411</v>
      </c>
      <c r="T26" s="103" t="s">
        <v>92</v>
      </c>
    </row>
    <row r="27" spans="6:20" ht="13">
      <c r="N27" s="103" t="s">
        <v>87</v>
      </c>
      <c r="P27" t="s">
        <v>786</v>
      </c>
      <c r="Q27" t="s">
        <v>749</v>
      </c>
      <c r="R27" s="103" t="s">
        <v>69</v>
      </c>
      <c r="S27" s="103" t="s">
        <v>411</v>
      </c>
      <c r="T27" s="103" t="s">
        <v>92</v>
      </c>
    </row>
    <row r="28" spans="6:20" ht="13">
      <c r="N28" s="103" t="s">
        <v>87</v>
      </c>
      <c r="P28" t="s">
        <v>787</v>
      </c>
      <c r="Q28" t="s">
        <v>750</v>
      </c>
      <c r="R28" s="103" t="s">
        <v>69</v>
      </c>
      <c r="S28" s="103" t="s">
        <v>850</v>
      </c>
      <c r="T28" s="103" t="s">
        <v>92</v>
      </c>
    </row>
    <row r="32" spans="6:20">
      <c r="F32" s="339" t="s">
        <v>13</v>
      </c>
    </row>
    <row r="33" spans="3:35" ht="21">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84">
      <c r="C53" s="492" t="s">
        <v>39</v>
      </c>
      <c r="D53" s="492"/>
      <c r="E53" s="492" t="s">
        <v>32</v>
      </c>
      <c r="F53" s="492" t="s">
        <v>33</v>
      </c>
      <c r="G53" s="492"/>
      <c r="H53" s="492" t="s">
        <v>743</v>
      </c>
      <c r="I53" s="493" t="s">
        <v>744</v>
      </c>
    </row>
    <row r="54" spans="3:20">
      <c r="C54" s="492"/>
      <c r="D54" s="492" t="s">
        <v>745</v>
      </c>
      <c r="E54" s="492" t="s">
        <v>725</v>
      </c>
      <c r="F54" s="492" t="s">
        <v>725</v>
      </c>
      <c r="G54" s="492">
        <v>0.3</v>
      </c>
      <c r="H54" s="492">
        <v>6043.0555555555557</v>
      </c>
    </row>
    <row r="55" spans="3:20">
      <c r="C55" s="492"/>
      <c r="D55" s="492" t="s">
        <v>746</v>
      </c>
      <c r="E55" s="492" t="s">
        <v>725</v>
      </c>
      <c r="F55" s="492" t="s">
        <v>725</v>
      </c>
      <c r="G55" s="492">
        <v>0.4</v>
      </c>
      <c r="H55" s="492">
        <v>883.39655555555544</v>
      </c>
    </row>
    <row r="56" spans="3:20" ht="13">
      <c r="N56" s="494"/>
    </row>
    <row r="57" spans="3:20" ht="13">
      <c r="C57" t="s">
        <v>747</v>
      </c>
      <c r="M57" s="494"/>
    </row>
    <row r="58" spans="3:20" ht="13">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0.5"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ht="13">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F66" s="498" t="s">
        <v>867</v>
      </c>
      <c r="G66" s="498"/>
      <c r="H66" s="498"/>
      <c r="I66" s="498"/>
      <c r="J66" s="498"/>
      <c r="K66" s="498"/>
      <c r="L66" s="498"/>
      <c r="M66" s="498"/>
      <c r="N66" s="498"/>
      <c r="O66" s="498"/>
      <c r="P66" s="498"/>
      <c r="Q66" s="498"/>
      <c r="R66" s="498"/>
      <c r="S66">
        <v>0.75</v>
      </c>
    </row>
    <row r="67" spans="3:19">
      <c r="C67" s="498"/>
      <c r="D67" s="498"/>
      <c r="F67" s="498" t="s">
        <v>673</v>
      </c>
      <c r="G67" s="498"/>
      <c r="H67" s="498"/>
      <c r="I67" s="498"/>
      <c r="J67" s="498"/>
      <c r="K67" s="498"/>
      <c r="L67" s="498"/>
      <c r="M67" s="498"/>
      <c r="N67" s="498"/>
      <c r="O67" s="498"/>
      <c r="P67" s="498"/>
      <c r="Q67" s="498"/>
      <c r="R67" s="498"/>
      <c r="S67">
        <v>2.81</v>
      </c>
    </row>
    <row r="68" spans="3:19">
      <c r="C68" s="498"/>
      <c r="D68" s="498"/>
      <c r="F68" s="498" t="s">
        <v>672</v>
      </c>
      <c r="G68" s="498"/>
      <c r="H68" s="498"/>
      <c r="I68" s="498"/>
      <c r="J68" s="498"/>
      <c r="K68" s="498"/>
      <c r="L68" s="498"/>
      <c r="M68" s="498"/>
      <c r="N68" s="498"/>
      <c r="O68" s="498"/>
      <c r="P68" s="498"/>
      <c r="Q68" s="498"/>
      <c r="R68" s="498"/>
      <c r="S68">
        <v>9.35</v>
      </c>
    </row>
    <row r="69" spans="3:19">
      <c r="C69" s="498"/>
      <c r="D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ht="13">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ht="13">
      <c r="C80" s="502" t="s">
        <v>756</v>
      </c>
      <c r="D80" s="503" t="s">
        <v>443</v>
      </c>
      <c r="E80" s="503" t="s">
        <v>757</v>
      </c>
      <c r="F80" s="504"/>
      <c r="G80" s="504"/>
      <c r="H80" s="504"/>
      <c r="I80" s="505">
        <v>1</v>
      </c>
      <c r="J80" s="505">
        <v>100</v>
      </c>
      <c r="K80" s="506"/>
      <c r="L80" t="s">
        <v>758</v>
      </c>
    </row>
    <row r="81" spans="3:11" ht="13">
      <c r="C81" t="s">
        <v>759</v>
      </c>
      <c r="D81" t="s">
        <v>727</v>
      </c>
      <c r="E81" t="s">
        <v>757</v>
      </c>
      <c r="F81" s="507"/>
      <c r="G81" s="507"/>
      <c r="H81" s="507"/>
      <c r="I81" s="505">
        <v>1</v>
      </c>
      <c r="J81" s="505">
        <v>100</v>
      </c>
      <c r="K81" s="507">
        <v>29</v>
      </c>
    </row>
    <row r="82" spans="3:11" ht="13">
      <c r="C82" t="s">
        <v>760</v>
      </c>
      <c r="D82" t="s">
        <v>443</v>
      </c>
      <c r="E82" t="s">
        <v>761</v>
      </c>
      <c r="F82" s="507"/>
      <c r="G82" s="507"/>
      <c r="H82" s="507"/>
      <c r="I82" s="505">
        <v>1</v>
      </c>
      <c r="J82" s="505">
        <v>100</v>
      </c>
      <c r="K82" s="507"/>
    </row>
    <row r="83" spans="3:11" ht="13">
      <c r="C83" t="s">
        <v>762</v>
      </c>
      <c r="D83" t="s">
        <v>727</v>
      </c>
      <c r="E83" t="s">
        <v>761</v>
      </c>
      <c r="F83" s="507"/>
      <c r="G83" s="507"/>
      <c r="H83" s="507"/>
      <c r="I83" s="505">
        <v>1</v>
      </c>
      <c r="J83" s="505">
        <v>100</v>
      </c>
      <c r="K83" s="507">
        <v>29</v>
      </c>
    </row>
    <row r="84" spans="3:11" ht="13">
      <c r="C84" t="s">
        <v>763</v>
      </c>
      <c r="D84" t="s">
        <v>443</v>
      </c>
      <c r="E84" t="s">
        <v>764</v>
      </c>
      <c r="F84" s="507"/>
      <c r="G84" s="507"/>
      <c r="H84" s="507"/>
      <c r="I84" s="505">
        <v>1</v>
      </c>
      <c r="J84" s="505">
        <v>100</v>
      </c>
      <c r="K84" s="507"/>
    </row>
    <row r="85" spans="3:11" ht="13">
      <c r="C85" t="s">
        <v>765</v>
      </c>
      <c r="D85" t="s">
        <v>443</v>
      </c>
      <c r="E85" t="s">
        <v>766</v>
      </c>
      <c r="I85" s="508">
        <v>1</v>
      </c>
      <c r="J85" s="505">
        <v>100</v>
      </c>
      <c r="K85" s="507"/>
    </row>
    <row r="86" spans="3:11" ht="13">
      <c r="C86" t="s">
        <v>767</v>
      </c>
      <c r="D86" t="s">
        <v>727</v>
      </c>
      <c r="E86" t="s">
        <v>766</v>
      </c>
      <c r="I86" s="508">
        <v>1</v>
      </c>
      <c r="J86" s="505">
        <v>100</v>
      </c>
      <c r="K86" s="507">
        <v>29</v>
      </c>
    </row>
    <row r="87" spans="3:11" ht="13">
      <c r="C87" t="s">
        <v>768</v>
      </c>
      <c r="D87" t="s">
        <v>443</v>
      </c>
      <c r="E87" t="s">
        <v>769</v>
      </c>
      <c r="I87" s="508">
        <v>1</v>
      </c>
      <c r="J87" s="505">
        <v>100</v>
      </c>
      <c r="K87" s="507"/>
    </row>
    <row r="88" spans="3:11" ht="13">
      <c r="C88" t="s">
        <v>770</v>
      </c>
      <c r="D88" t="s">
        <v>727</v>
      </c>
      <c r="E88" t="s">
        <v>769</v>
      </c>
      <c r="I88" s="508">
        <v>1</v>
      </c>
      <c r="J88" s="505">
        <v>100</v>
      </c>
      <c r="K88" s="507">
        <v>29</v>
      </c>
    </row>
    <row r="89" spans="3:11" ht="13">
      <c r="C89" t="s">
        <v>825</v>
      </c>
      <c r="D89" t="s">
        <v>443</v>
      </c>
      <c r="E89" t="s">
        <v>827</v>
      </c>
      <c r="I89" s="508">
        <v>1</v>
      </c>
      <c r="J89" s="505">
        <v>100</v>
      </c>
      <c r="K89" s="507"/>
    </row>
    <row r="90" spans="3:11" ht="13">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cp:lastPrinted>2004-11-16T14:57:57Z</cp:lastPrinted>
  <dcterms:created xsi:type="dcterms:W3CDTF">2000-12-13T15:53:11Z</dcterms:created>
  <dcterms:modified xsi:type="dcterms:W3CDTF">2023-09-01T00:09:29Z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