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5\"/>
    </mc:Choice>
  </mc:AlternateContent>
  <bookViews>
    <workbookView xWindow="1935" yWindow="510" windowWidth="15945" windowHeight="17340" tabRatio="694" activeTab="4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H106" i="161" l="1"/>
  <c r="I106" i="161"/>
  <c r="J106" i="161"/>
  <c r="K106" i="161"/>
  <c r="L106" i="161"/>
  <c r="M106" i="161"/>
  <c r="N106" i="161"/>
  <c r="O106" i="161"/>
  <c r="G106" i="161"/>
  <c r="F106" i="161"/>
  <c r="E106" i="161" s="1"/>
  <c r="D106" i="161"/>
  <c r="C106" i="161"/>
  <c r="G62" i="161" l="1"/>
  <c r="AA69" i="161" l="1"/>
  <c r="AA70" i="161"/>
  <c r="Z70" i="161"/>
  <c r="Z69" i="161"/>
  <c r="D49" i="140" l="1"/>
  <c r="B49" i="140"/>
  <c r="K48" i="140"/>
  <c r="J48" i="140"/>
  <c r="I48" i="140"/>
  <c r="L41" i="140"/>
  <c r="L39" i="140"/>
  <c r="O25" i="158" l="1"/>
  <c r="N25" i="158"/>
  <c r="M25" i="158"/>
  <c r="L25" i="158"/>
  <c r="O24" i="158"/>
  <c r="N24" i="158"/>
  <c r="M24" i="158"/>
  <c r="L24" i="158"/>
  <c r="O23" i="158"/>
  <c r="N23" i="158"/>
  <c r="M23" i="158"/>
  <c r="L23" i="158"/>
  <c r="O22" i="158"/>
  <c r="N22" i="158"/>
  <c r="M22" i="158"/>
  <c r="L22" i="158"/>
  <c r="O21" i="158"/>
  <c r="N21" i="158"/>
  <c r="M21" i="158"/>
  <c r="L21" i="158"/>
  <c r="O20" i="158"/>
  <c r="N20" i="158"/>
  <c r="M20" i="158"/>
  <c r="L20" i="158"/>
  <c r="O19" i="158"/>
  <c r="N19" i="158"/>
  <c r="M19" i="158"/>
  <c r="L19" i="158"/>
  <c r="O18" i="158"/>
  <c r="N18" i="158"/>
  <c r="M18" i="158"/>
  <c r="L18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J87" i="161" l="1"/>
  <c r="J86" i="161"/>
  <c r="J85" i="161"/>
  <c r="J84" i="161"/>
  <c r="S83" i="161"/>
  <c r="J83" i="161"/>
  <c r="F83" i="161"/>
  <c r="S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J77" i="161"/>
  <c r="F77" i="161"/>
  <c r="S76" i="161"/>
  <c r="J76" i="161"/>
  <c r="F76" i="161"/>
  <c r="S75" i="161"/>
  <c r="F75" i="161"/>
  <c r="S74" i="161"/>
  <c r="J74" i="161"/>
  <c r="F74" i="161"/>
  <c r="S73" i="161"/>
  <c r="J73" i="161"/>
  <c r="F73" i="161"/>
  <c r="S72" i="161"/>
  <c r="J72" i="161"/>
  <c r="F72" i="161"/>
  <c r="S71" i="161"/>
  <c r="J71" i="161"/>
  <c r="F71" i="161"/>
  <c r="S68" i="161"/>
  <c r="J68" i="161"/>
  <c r="S67" i="161"/>
  <c r="J67" i="161"/>
  <c r="F67" i="161"/>
  <c r="S66" i="161"/>
  <c r="J66" i="161"/>
  <c r="F66" i="161"/>
  <c r="S65" i="161"/>
  <c r="J65" i="161"/>
  <c r="F65" i="161"/>
  <c r="S64" i="161"/>
  <c r="F48" i="161"/>
  <c r="F47" i="161"/>
  <c r="F46" i="161"/>
  <c r="F45" i="161"/>
  <c r="F44" i="161"/>
  <c r="F43" i="161"/>
  <c r="F42" i="161"/>
  <c r="F40" i="161"/>
  <c r="E40" i="161"/>
  <c r="F39" i="161"/>
  <c r="E39" i="161"/>
  <c r="F38" i="161"/>
  <c r="E38" i="161"/>
  <c r="F37" i="161"/>
  <c r="E37" i="161"/>
  <c r="F36" i="161"/>
  <c r="E36" i="161"/>
  <c r="F35" i="161"/>
  <c r="E35" i="161"/>
  <c r="F34" i="161"/>
  <c r="E34" i="161"/>
  <c r="F33" i="161"/>
  <c r="E33" i="161"/>
  <c r="F32" i="161"/>
  <c r="E32" i="161"/>
  <c r="F31" i="161"/>
  <c r="E31" i="161"/>
  <c r="F30" i="161"/>
  <c r="E30" i="161"/>
  <c r="F29" i="161"/>
  <c r="E29" i="161"/>
  <c r="J64" i="161"/>
  <c r="F64" i="161"/>
  <c r="S63" i="161"/>
  <c r="J63" i="161"/>
  <c r="F63" i="161"/>
  <c r="S62" i="161"/>
  <c r="J62" i="161"/>
  <c r="F62" i="161"/>
  <c r="C104" i="161"/>
  <c r="D104" i="161" s="1"/>
  <c r="C103" i="161"/>
  <c r="C102" i="161"/>
  <c r="C101" i="161"/>
  <c r="C100" i="161"/>
  <c r="D100" i="161" s="1"/>
  <c r="C99" i="161"/>
  <c r="C98" i="161"/>
  <c r="C97" i="161"/>
  <c r="C96" i="161"/>
  <c r="C95" i="161"/>
  <c r="C105" i="161"/>
  <c r="E87" i="161"/>
  <c r="C87" i="161"/>
  <c r="E86" i="161"/>
  <c r="C86" i="161"/>
  <c r="D86" i="161" s="1"/>
  <c r="E85" i="161"/>
  <c r="C85" i="161"/>
  <c r="E84" i="161"/>
  <c r="C84" i="161"/>
  <c r="E83" i="161"/>
  <c r="D83" i="161"/>
  <c r="C83" i="161"/>
  <c r="E82" i="161"/>
  <c r="C82" i="161"/>
  <c r="D82" i="161" s="1"/>
  <c r="E81" i="161"/>
  <c r="C81" i="161"/>
  <c r="D81" i="161" s="1"/>
  <c r="E80" i="161"/>
  <c r="C80" i="161"/>
  <c r="D80" i="161" s="1"/>
  <c r="E79" i="161"/>
  <c r="D79" i="161"/>
  <c r="C79" i="161"/>
  <c r="E78" i="161"/>
  <c r="C78" i="161"/>
  <c r="D78" i="161" s="1"/>
  <c r="E77" i="161"/>
  <c r="C77" i="161"/>
  <c r="D77" i="161" s="1"/>
  <c r="E76" i="161"/>
  <c r="C76" i="161"/>
  <c r="D76" i="161" s="1"/>
  <c r="E75" i="161"/>
  <c r="E74" i="161"/>
  <c r="E73" i="161"/>
  <c r="E72" i="161"/>
  <c r="E71" i="161"/>
  <c r="E68" i="161"/>
  <c r="E67" i="161"/>
  <c r="E66" i="161"/>
  <c r="E65" i="161"/>
  <c r="E64" i="161"/>
  <c r="M63" i="161"/>
  <c r="M64" i="161" s="1"/>
  <c r="E63" i="161"/>
  <c r="C63" i="161"/>
  <c r="D63" i="161" s="1"/>
  <c r="N62" i="161"/>
  <c r="E62" i="161"/>
  <c r="C75" i="161"/>
  <c r="D75" i="161" s="1"/>
  <c r="C74" i="161"/>
  <c r="D74" i="161" s="1"/>
  <c r="C73" i="161"/>
  <c r="C72" i="161"/>
  <c r="D72" i="161" s="1"/>
  <c r="C71" i="161"/>
  <c r="D71" i="161" s="1"/>
  <c r="C68" i="161"/>
  <c r="C67" i="161"/>
  <c r="D67" i="161" s="1"/>
  <c r="C66" i="161"/>
  <c r="D66" i="161" s="1"/>
  <c r="C65" i="161"/>
  <c r="C64" i="161"/>
  <c r="C62" i="161"/>
  <c r="D62" i="161" s="1"/>
  <c r="D101" i="161" l="1"/>
  <c r="M65" i="161"/>
  <c r="M66" i="161" s="1"/>
  <c r="D105" i="161"/>
  <c r="N64" i="161"/>
  <c r="N65" i="161" s="1"/>
  <c r="D98" i="161"/>
  <c r="D102" i="161"/>
  <c r="N63" i="161"/>
  <c r="D95" i="161"/>
  <c r="D103" i="161"/>
  <c r="D97" i="161"/>
  <c r="P76" i="161"/>
  <c r="P83" i="161"/>
  <c r="P75" i="161"/>
  <c r="P74" i="161"/>
  <c r="P73" i="161"/>
  <c r="P72" i="161"/>
  <c r="P71" i="161"/>
  <c r="P68" i="161"/>
  <c r="P67" i="161"/>
  <c r="P66" i="161"/>
  <c r="P65" i="161"/>
  <c r="P64" i="161"/>
  <c r="P63" i="161"/>
  <c r="P62" i="161"/>
  <c r="P25" i="158"/>
  <c r="Q76" i="161" s="1"/>
  <c r="P24" i="158"/>
  <c r="Q79" i="161" s="1"/>
  <c r="P23" i="158"/>
  <c r="Q78" i="161" s="1"/>
  <c r="P22" i="158"/>
  <c r="Q77" i="161" s="1"/>
  <c r="P21" i="158"/>
  <c r="Q83" i="161" s="1"/>
  <c r="P20" i="158"/>
  <c r="Q82" i="161" s="1"/>
  <c r="P19" i="158"/>
  <c r="Q81" i="161" s="1"/>
  <c r="P18" i="158"/>
  <c r="Q80" i="161" s="1"/>
  <c r="P17" i="158"/>
  <c r="Q75" i="161" s="1"/>
  <c r="P16" i="158"/>
  <c r="Q74" i="161" s="1"/>
  <c r="P15" i="158"/>
  <c r="Q73" i="161" s="1"/>
  <c r="P14" i="158"/>
  <c r="Q72" i="161" s="1"/>
  <c r="P13" i="158"/>
  <c r="Q71" i="161" s="1"/>
  <c r="P12" i="158"/>
  <c r="P11" i="158"/>
  <c r="Q68" i="161" s="1"/>
  <c r="P10" i="158"/>
  <c r="Q67" i="161" s="1"/>
  <c r="P9" i="158"/>
  <c r="Q66" i="161" s="1"/>
  <c r="P8" i="158"/>
  <c r="Q65" i="161" s="1"/>
  <c r="P7" i="158"/>
  <c r="Q64" i="161" s="1"/>
  <c r="P6" i="158"/>
  <c r="Q63" i="161" s="1"/>
  <c r="P5" i="158"/>
  <c r="Q62" i="161" s="1"/>
  <c r="P77" i="161" l="1"/>
  <c r="P80" i="161"/>
  <c r="P81" i="161"/>
  <c r="P78" i="161"/>
  <c r="P82" i="161"/>
  <c r="P79" i="161"/>
  <c r="M67" i="161"/>
  <c r="N66" i="161"/>
  <c r="M68" i="161" l="1"/>
  <c r="N67" i="161"/>
  <c r="O105" i="161"/>
  <c r="N105" i="161"/>
  <c r="M105" i="161"/>
  <c r="L105" i="161"/>
  <c r="K105" i="161"/>
  <c r="J105" i="161"/>
  <c r="I105" i="161"/>
  <c r="H105" i="161"/>
  <c r="G105" i="161"/>
  <c r="O104" i="161"/>
  <c r="N104" i="161"/>
  <c r="M104" i="161"/>
  <c r="L104" i="161"/>
  <c r="K104" i="161"/>
  <c r="J104" i="161"/>
  <c r="I104" i="161"/>
  <c r="H104" i="161"/>
  <c r="G104" i="161"/>
  <c r="O103" i="161"/>
  <c r="N103" i="161"/>
  <c r="M103" i="161"/>
  <c r="L103" i="161"/>
  <c r="K103" i="161"/>
  <c r="J103" i="161"/>
  <c r="I103" i="161"/>
  <c r="H103" i="161"/>
  <c r="G103" i="161"/>
  <c r="O102" i="161"/>
  <c r="N102" i="161"/>
  <c r="M102" i="161"/>
  <c r="L102" i="161"/>
  <c r="K102" i="161"/>
  <c r="J102" i="161"/>
  <c r="I102" i="161"/>
  <c r="H102" i="161"/>
  <c r="G102" i="161"/>
  <c r="O101" i="161"/>
  <c r="N101" i="161"/>
  <c r="M101" i="161"/>
  <c r="L101" i="161"/>
  <c r="K101" i="161"/>
  <c r="J101" i="161"/>
  <c r="I101" i="161"/>
  <c r="H101" i="161"/>
  <c r="G101" i="161"/>
  <c r="M71" i="161" l="1"/>
  <c r="N68" i="161"/>
  <c r="M72" i="161" l="1"/>
  <c r="N71" i="161"/>
  <c r="G100" i="161" l="1"/>
  <c r="J100" i="161"/>
  <c r="K99" i="161"/>
  <c r="I99" i="161"/>
  <c r="G97" i="161"/>
  <c r="J97" i="161"/>
  <c r="M96" i="161"/>
  <c r="L96" i="161"/>
  <c r="G98" i="161"/>
  <c r="J98" i="161"/>
  <c r="L95" i="161"/>
  <c r="I95" i="161"/>
  <c r="N100" i="161"/>
  <c r="M99" i="161"/>
  <c r="H97" i="161"/>
  <c r="O97" i="161"/>
  <c r="N97" i="161"/>
  <c r="G96" i="161"/>
  <c r="K96" i="161"/>
  <c r="K98" i="161"/>
  <c r="O98" i="161"/>
  <c r="N98" i="161"/>
  <c r="H95" i="161"/>
  <c r="O95" i="161"/>
  <c r="H100" i="161"/>
  <c r="L99" i="161"/>
  <c r="I100" i="161"/>
  <c r="J99" i="161"/>
  <c r="K97" i="161"/>
  <c r="I97" i="161"/>
  <c r="I96" i="161"/>
  <c r="J96" i="161"/>
  <c r="H98" i="161"/>
  <c r="I98" i="161"/>
  <c r="M95" i="161"/>
  <c r="J95" i="161"/>
  <c r="O100" i="161"/>
  <c r="K100" i="161"/>
  <c r="G99" i="161"/>
  <c r="L100" i="161"/>
  <c r="M100" i="161"/>
  <c r="H99" i="161"/>
  <c r="O99" i="161"/>
  <c r="N99" i="161"/>
  <c r="L97" i="161"/>
  <c r="M97" i="161"/>
  <c r="H96" i="161"/>
  <c r="O96" i="161"/>
  <c r="N96" i="161"/>
  <c r="L98" i="161"/>
  <c r="M98" i="161"/>
  <c r="G95" i="161"/>
  <c r="K95" i="161"/>
  <c r="N95" i="161"/>
  <c r="M73" i="161"/>
  <c r="N72" i="161"/>
  <c r="M74" i="161" l="1"/>
  <c r="N73" i="161"/>
  <c r="Q33" i="158"/>
  <c r="Q32" i="158"/>
  <c r="Q31" i="158"/>
  <c r="Q30" i="158"/>
  <c r="Q29" i="158"/>
  <c r="Q28" i="158"/>
  <c r="Q27" i="158"/>
  <c r="Q26" i="158"/>
  <c r="Q25" i="158"/>
  <c r="K25" i="158"/>
  <c r="H76" i="161" s="1"/>
  <c r="J25" i="158"/>
  <c r="G76" i="161" s="1"/>
  <c r="Q24" i="158"/>
  <c r="K24" i="158"/>
  <c r="H79" i="161" s="1"/>
  <c r="J24" i="158"/>
  <c r="G79" i="161" s="1"/>
  <c r="Q23" i="158"/>
  <c r="K23" i="158"/>
  <c r="H78" i="161" s="1"/>
  <c r="J23" i="158"/>
  <c r="G78" i="161" s="1"/>
  <c r="Q22" i="158"/>
  <c r="K22" i="158"/>
  <c r="H77" i="161" s="1"/>
  <c r="J22" i="158"/>
  <c r="G77" i="161" s="1"/>
  <c r="Q21" i="158"/>
  <c r="K21" i="158"/>
  <c r="H83" i="161" s="1"/>
  <c r="J21" i="158"/>
  <c r="G83" i="161" s="1"/>
  <c r="Q20" i="158"/>
  <c r="K20" i="158"/>
  <c r="H82" i="161" s="1"/>
  <c r="J20" i="158"/>
  <c r="G82" i="161" s="1"/>
  <c r="Q19" i="158"/>
  <c r="K19" i="158"/>
  <c r="H81" i="161" s="1"/>
  <c r="J19" i="158"/>
  <c r="G81" i="161" s="1"/>
  <c r="Q18" i="158"/>
  <c r="K18" i="158"/>
  <c r="H80" i="161" s="1"/>
  <c r="J18" i="158"/>
  <c r="G80" i="161" s="1"/>
  <c r="Q17" i="158"/>
  <c r="K17" i="158"/>
  <c r="H75" i="161" s="1"/>
  <c r="J17" i="158"/>
  <c r="G75" i="161" s="1"/>
  <c r="Q16" i="158"/>
  <c r="K16" i="158"/>
  <c r="H74" i="161" s="1"/>
  <c r="J16" i="158"/>
  <c r="G74" i="161" s="1"/>
  <c r="Q15" i="158"/>
  <c r="K15" i="158"/>
  <c r="H73" i="161" s="1"/>
  <c r="J15" i="158"/>
  <c r="G73" i="161" s="1"/>
  <c r="Q14" i="158"/>
  <c r="K14" i="158"/>
  <c r="H72" i="161" s="1"/>
  <c r="J14" i="158"/>
  <c r="G72" i="161" s="1"/>
  <c r="Q13" i="158"/>
  <c r="K13" i="158"/>
  <c r="H71" i="161" s="1"/>
  <c r="J13" i="158"/>
  <c r="G71" i="161" s="1"/>
  <c r="Q12" i="158"/>
  <c r="K12" i="158"/>
  <c r="J12" i="158"/>
  <c r="R11" i="158"/>
  <c r="Q11" i="158"/>
  <c r="K11" i="158"/>
  <c r="H68" i="161" s="1"/>
  <c r="J11" i="158"/>
  <c r="Q10" i="158"/>
  <c r="K10" i="158"/>
  <c r="H67" i="161" s="1"/>
  <c r="J10" i="158"/>
  <c r="G67" i="161" s="1"/>
  <c r="Q9" i="158"/>
  <c r="K9" i="158"/>
  <c r="H66" i="161" s="1"/>
  <c r="J9" i="158"/>
  <c r="G66" i="161" s="1"/>
  <c r="Q8" i="158"/>
  <c r="K8" i="158"/>
  <c r="H65" i="161" s="1"/>
  <c r="J8" i="158"/>
  <c r="G65" i="161" s="1"/>
  <c r="Q7" i="158"/>
  <c r="K7" i="158"/>
  <c r="H64" i="161" s="1"/>
  <c r="J7" i="158"/>
  <c r="G64" i="161" s="1"/>
  <c r="Q6" i="158"/>
  <c r="K6" i="158"/>
  <c r="H63" i="161" s="1"/>
  <c r="J6" i="158"/>
  <c r="G63" i="161" s="1"/>
  <c r="Q5" i="158"/>
  <c r="K5" i="158"/>
  <c r="H62" i="161" s="1"/>
  <c r="J5" i="158"/>
  <c r="J2" i="158"/>
  <c r="X70" i="161" l="1"/>
  <c r="X69" i="161"/>
  <c r="M75" i="161"/>
  <c r="M76" i="161" s="1"/>
  <c r="N74" i="161"/>
  <c r="N75" i="161" s="1"/>
  <c r="S33" i="158"/>
  <c r="K85" i="161" s="1"/>
  <c r="F102" i="161" s="1"/>
  <c r="E102" i="161" s="1"/>
  <c r="S32" i="158"/>
  <c r="K84" i="161" s="1"/>
  <c r="F101" i="161" s="1"/>
  <c r="E101" i="161" s="1"/>
  <c r="J75" i="161" l="1"/>
  <c r="D96" i="161" s="1"/>
  <c r="M77" i="161"/>
  <c r="N76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1" i="158"/>
  <c r="S22" i="158"/>
  <c r="S23" i="158"/>
  <c r="S24" i="158"/>
  <c r="S25" i="158"/>
  <c r="S26" i="158"/>
  <c r="K86" i="161" s="1"/>
  <c r="F103" i="161" s="1"/>
  <c r="E103" i="161" s="1"/>
  <c r="S27" i="158"/>
  <c r="K87" i="161" s="1"/>
  <c r="F104" i="161" s="1"/>
  <c r="E104" i="161" s="1"/>
  <c r="S28" i="158"/>
  <c r="S29" i="158"/>
  <c r="S30" i="158"/>
  <c r="S31" i="158"/>
  <c r="S5" i="158"/>
  <c r="T83" i="161" l="1"/>
  <c r="K83" i="161"/>
  <c r="F100" i="161" s="1"/>
  <c r="E100" i="161" s="1"/>
  <c r="T75" i="161"/>
  <c r="T66" i="161"/>
  <c r="K66" i="161"/>
  <c r="T62" i="161"/>
  <c r="K62" i="161"/>
  <c r="F105" i="161"/>
  <c r="E105" i="161" s="1"/>
  <c r="T79" i="161"/>
  <c r="K79" i="161"/>
  <c r="T82" i="161"/>
  <c r="K82" i="161"/>
  <c r="T74" i="161"/>
  <c r="K74" i="161"/>
  <c r="T65" i="161"/>
  <c r="K65" i="161"/>
  <c r="T78" i="161"/>
  <c r="K78" i="161"/>
  <c r="T81" i="161"/>
  <c r="K81" i="161"/>
  <c r="T73" i="161"/>
  <c r="K73" i="161"/>
  <c r="O73" i="161" s="1"/>
  <c r="T68" i="161"/>
  <c r="K68" i="161"/>
  <c r="T64" i="161"/>
  <c r="K64" i="161"/>
  <c r="O64" i="161" s="1"/>
  <c r="O65" i="161" s="1"/>
  <c r="T77" i="161"/>
  <c r="K77" i="161"/>
  <c r="F98" i="161" s="1"/>
  <c r="E98" i="161" s="1"/>
  <c r="T80" i="161"/>
  <c r="K80" i="161"/>
  <c r="T72" i="161"/>
  <c r="K72" i="161"/>
  <c r="T67" i="161"/>
  <c r="K67" i="161"/>
  <c r="O67" i="161" s="1"/>
  <c r="T63" i="161"/>
  <c r="K63" i="161"/>
  <c r="T76" i="161"/>
  <c r="K76" i="161"/>
  <c r="T71" i="161"/>
  <c r="K71" i="161"/>
  <c r="M78" i="161"/>
  <c r="N77" i="161"/>
  <c r="F97" i="161" l="1"/>
  <c r="E97" i="161" s="1"/>
  <c r="O76" i="161"/>
  <c r="O63" i="161"/>
  <c r="F99" i="161"/>
  <c r="O74" i="161"/>
  <c r="O75" i="161" s="1"/>
  <c r="K75" i="161" s="1"/>
  <c r="F96" i="161" s="1"/>
  <c r="E96" i="161" s="1"/>
  <c r="O66" i="161"/>
  <c r="O72" i="161"/>
  <c r="O68" i="161"/>
  <c r="O77" i="161"/>
  <c r="O71" i="161"/>
  <c r="O62" i="161"/>
  <c r="F95" i="161"/>
  <c r="E95" i="161" s="1"/>
  <c r="M79" i="161"/>
  <c r="O78" i="161"/>
  <c r="N78" i="161"/>
  <c r="O79" i="161" l="1"/>
  <c r="M80" i="161"/>
  <c r="N79" i="161"/>
  <c r="H2" i="159"/>
  <c r="M81" i="161" l="1"/>
  <c r="N80" i="161"/>
  <c r="O80" i="161"/>
  <c r="M82" i="161" l="1"/>
  <c r="N81" i="161"/>
  <c r="O81" i="161"/>
  <c r="M83" i="161" l="1"/>
  <c r="O82" i="161"/>
  <c r="N82" i="161" s="1"/>
  <c r="J82" i="161" s="1"/>
  <c r="D99" i="161" s="1"/>
  <c r="E99" i="161" s="1"/>
  <c r="O83" i="161" l="1"/>
  <c r="N83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<sst xmlns="http://schemas.openxmlformats.org/spreadsheetml/2006/main" count="1007" uniqueCount="331">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</sst>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6" fillId="29" borderId="0" applyNumberFormat="0" applyBorder="0" applyAlignment="0" applyProtection="0"/>
    <xf numFmtId="43" fontId="36" fillId="0" borderId="0" applyFont="0" applyFill="0" applyBorder="0" applyAlignment="0" applyProtection="0"/>
    <xf numFmtId="0" fontId="48" fillId="5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1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5" fillId="0" borderId="0">
      <alignment vertical="top"/>
    </xf>
    <xf numFmtId="0" fontId="13" fillId="0" borderId="0">
      <alignment vertical="top"/>
    </xf>
    <xf numFmtId="9" fontId="13" fillId="0" borderId="0" applyFont="0" applyFill="0" applyBorder="0" applyAlignment="0" applyProtection="0"/>
    <xf numFmtId="0" fontId="54" fillId="0" borderId="0"/>
    <xf numFmtId="0" fontId="18" fillId="0" borderId="0"/>
    <xf numFmtId="0" fontId="71" fillId="0" borderId="0" applyNumberFormat="0" applyFill="0" applyBorder="0" applyAlignment="0" applyProtection="0">
      <alignment vertical="top"/>
      <protection locked="0"/>
    </xf>
    <xf numFmtId="168" fontId="13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Border="0"/>
    <xf numFmtId="166" fontId="18" fillId="0" borderId="0"/>
    <xf numFmtId="166" fontId="18" fillId="0" borderId="0"/>
    <xf numFmtId="166" fontId="18" fillId="0" borderId="0"/>
    <xf numFmtId="0" fontId="13" fillId="0" borderId="0"/>
    <xf numFmtId="166" fontId="18" fillId="0" borderId="0"/>
    <xf numFmtId="0" fontId="13" fillId="0" borderId="0"/>
    <xf numFmtId="0" fontId="13" fillId="0" borderId="0"/>
    <xf numFmtId="0" fontId="13" fillId="0" borderId="0"/>
    <xf numFmtId="0" fontId="72" fillId="0" borderId="0"/>
    <xf numFmtId="168" fontId="18" fillId="0" borderId="0"/>
    <xf numFmtId="0" fontId="13" fillId="0" borderId="0"/>
    <xf numFmtId="0" fontId="13" fillId="0" borderId="0"/>
    <xf numFmtId="166" fontId="18" fillId="0" borderId="0"/>
    <xf numFmtId="0" fontId="65" fillId="0" borderId="0"/>
    <xf numFmtId="168" fontId="65" fillId="0" borderId="0"/>
    <xf numFmtId="166" fontId="18" fillId="0" borderId="0"/>
    <xf numFmtId="0" fontId="13" fillId="0" borderId="0" applyBorder="0"/>
    <xf numFmtId="168" fontId="13" fillId="0" borderId="0" applyBorder="0"/>
    <xf numFmtId="0" fontId="13" fillId="0" borderId="0"/>
    <xf numFmtId="168" fontId="13" fillId="0" borderId="0"/>
    <xf numFmtId="0" fontId="67" fillId="0" borderId="0"/>
    <xf numFmtId="0" fontId="67" fillId="0" borderId="0"/>
    <xf numFmtId="0" fontId="65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6" fillId="0" borderId="0"/>
    <xf numFmtId="169" fontId="75" fillId="0" borderId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169" fontId="18" fillId="60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7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36" fillId="25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169" fontId="18" fillId="60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169" fontId="18" fillId="6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36" fillId="2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169" fontId="18" fillId="62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169" fontId="18" fillId="63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2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2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169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169" fontId="18" fillId="6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28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66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169" fontId="18" fillId="6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36" fillId="29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169" fontId="18" fillId="6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169" fontId="18" fillId="6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23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23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36" fillId="30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169" fontId="18" fillId="6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6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169" fontId="18" fillId="6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1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69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169" fontId="18" fillId="70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169" fontId="18" fillId="7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9" fontId="18" fillId="71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3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169" fontId="18" fillId="6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20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6" fillId="3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69" fontId="18" fillId="73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169" fontId="18" fillId="6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36" fillId="35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169" fontId="18" fillId="74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169" fontId="18" fillId="7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2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36" fillId="36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9" fontId="18" fillId="67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169" fontId="19" fillId="76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4" borderId="0" applyNumberFormat="0" applyBorder="0" applyAlignment="0" applyProtection="0"/>
    <xf numFmtId="0" fontId="19" fillId="12" borderId="0" applyNumberFormat="0" applyBorder="0" applyAlignment="0" applyProtection="0"/>
    <xf numFmtId="169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37" fillId="37" borderId="0" applyNumberFormat="0" applyBorder="0" applyAlignment="0" applyProtection="0"/>
    <xf numFmtId="0" fontId="19" fillId="12" borderId="0" applyNumberFormat="0" applyBorder="0" applyAlignment="0" applyProtection="0"/>
    <xf numFmtId="169" fontId="19" fillId="7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70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8" borderId="0" applyNumberFormat="0" applyBorder="0" applyAlignment="0" applyProtection="0"/>
    <xf numFmtId="0" fontId="19" fillId="9" borderId="0" applyNumberFormat="0" applyBorder="0" applyAlignment="0" applyProtection="0"/>
    <xf numFmtId="169" fontId="19" fillId="7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169" fontId="19" fillId="72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9" borderId="0" applyNumberFormat="0" applyBorder="0" applyAlignment="0" applyProtection="0"/>
    <xf numFmtId="0" fontId="19" fillId="10" borderId="0" applyNumberFormat="0" applyBorder="0" applyAlignment="0" applyProtection="0"/>
    <xf numFmtId="169" fontId="19" fillId="7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20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0" borderId="0" applyNumberFormat="0" applyBorder="0" applyAlignment="0" applyProtection="0"/>
    <xf numFmtId="0" fontId="19" fillId="13" borderId="0" applyNumberFormat="0" applyBorder="0" applyAlignment="0" applyProtection="0"/>
    <xf numFmtId="169" fontId="19" fillId="7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1" borderId="0" applyNumberFormat="0" applyBorder="0" applyAlignment="0" applyProtection="0"/>
    <xf numFmtId="0" fontId="19" fillId="14" borderId="0" applyNumberFormat="0" applyBorder="0" applyAlignment="0" applyProtection="0"/>
    <xf numFmtId="169" fontId="19" fillId="7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169" fontId="19" fillId="80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7" fillId="42" borderId="0" applyNumberFormat="0" applyBorder="0" applyAlignment="0" applyProtection="0"/>
    <xf numFmtId="0" fontId="19" fillId="15" borderId="0" applyNumberFormat="0" applyBorder="0" applyAlignment="0" applyProtection="0"/>
    <xf numFmtId="169" fontId="19" fillId="67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81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169" fontId="19" fillId="82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4" borderId="0" applyNumberFormat="0" applyBorder="0" applyAlignment="0" applyProtection="0"/>
    <xf numFmtId="0" fontId="19" fillId="16" borderId="0" applyNumberFormat="0" applyBorder="0" applyAlignment="0" applyProtection="0"/>
    <xf numFmtId="169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37" fillId="43" borderId="0" applyNumberFormat="0" applyBorder="0" applyAlignment="0" applyProtection="0"/>
    <xf numFmtId="0" fontId="19" fillId="16" borderId="0" applyNumberFormat="0" applyBorder="0" applyAlignment="0" applyProtection="0"/>
    <xf numFmtId="169" fontId="19" fillId="79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169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37" fillId="44" borderId="0" applyNumberFormat="0" applyBorder="0" applyAlignment="0" applyProtection="0"/>
    <xf numFmtId="0" fontId="19" fillId="17" borderId="0" applyNumberFormat="0" applyBorder="0" applyAlignment="0" applyProtection="0"/>
    <xf numFmtId="169" fontId="19" fillId="8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1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85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169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37" fillId="45" borderId="0" applyNumberFormat="0" applyBorder="0" applyAlignment="0" applyProtection="0"/>
    <xf numFmtId="0" fontId="19" fillId="18" borderId="0" applyNumberFormat="0" applyBorder="0" applyAlignment="0" applyProtection="0"/>
    <xf numFmtId="169" fontId="19" fillId="84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169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86" borderId="0" applyNumberFormat="0" applyBorder="0" applyAlignment="0" applyProtection="0"/>
    <xf numFmtId="169" fontId="19" fillId="8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86" borderId="0" applyNumberFormat="0" applyBorder="0" applyAlignment="0" applyProtection="0"/>
    <xf numFmtId="0" fontId="19" fillId="13" borderId="0" applyNumberFormat="0" applyBorder="0" applyAlignment="0" applyProtection="0"/>
    <xf numFmtId="169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37" fillId="46" borderId="0" applyNumberFormat="0" applyBorder="0" applyAlignment="0" applyProtection="0"/>
    <xf numFmtId="0" fontId="19" fillId="13" borderId="0" applyNumberFormat="0" applyBorder="0" applyAlignment="0" applyProtection="0"/>
    <xf numFmtId="169" fontId="19" fillId="87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169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37" fillId="47" borderId="0" applyNumberFormat="0" applyBorder="0" applyAlignment="0" applyProtection="0"/>
    <xf numFmtId="0" fontId="19" fillId="14" borderId="0" applyNumberFormat="0" applyBorder="0" applyAlignment="0" applyProtection="0"/>
    <xf numFmtId="169" fontId="19" fillId="79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7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5" borderId="0" applyNumberFormat="0" applyBorder="0" applyAlignment="0" applyProtection="0"/>
    <xf numFmtId="169" fontId="19" fillId="1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5" borderId="0" applyNumberFormat="0" applyBorder="0" applyAlignment="0" applyProtection="0"/>
    <xf numFmtId="0" fontId="19" fillId="19" borderId="0" applyNumberFormat="0" applyBorder="0" applyAlignment="0" applyProtection="0"/>
    <xf numFmtId="169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37" fillId="48" borderId="0" applyNumberFormat="0" applyBorder="0" applyAlignment="0" applyProtection="0"/>
    <xf numFmtId="0" fontId="19" fillId="19" borderId="0" applyNumberFormat="0" applyBorder="0" applyAlignment="0" applyProtection="0"/>
    <xf numFmtId="169" fontId="19" fillId="8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9" fontId="76" fillId="0" borderId="0"/>
    <xf numFmtId="169" fontId="66" fillId="0" borderId="0" applyNumberFormat="0" applyFill="0" applyBorder="0" applyAlignment="0" applyProtection="0"/>
    <xf numFmtId="169" fontId="69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5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49" borderId="0" applyNumberFormat="0" applyBorder="0" applyAlignment="0" applyProtection="0"/>
    <xf numFmtId="0" fontId="20" fillId="3" borderId="0" applyNumberFormat="0" applyBorder="0" applyAlignment="0" applyProtection="0"/>
    <xf numFmtId="169" fontId="20" fillId="6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77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39" fillId="50" borderId="15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1" fillId="89" borderId="1" applyNumberFormat="0" applyAlignment="0" applyProtection="0"/>
    <xf numFmtId="170" fontId="78" fillId="68" borderId="26">
      <alignment horizontal="center" vertical="center"/>
    </xf>
    <xf numFmtId="170" fontId="78" fillId="68" borderId="26">
      <alignment horizontal="center" vertical="center"/>
    </xf>
    <xf numFmtId="169" fontId="21" fillId="89" borderId="1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0" fontId="21" fillId="20" borderId="1" applyNumberFormat="0" applyAlignment="0" applyProtection="0"/>
    <xf numFmtId="169" fontId="21" fillId="89" borderId="1" applyNumberFormat="0" applyAlignment="0" applyProtection="0"/>
    <xf numFmtId="169" fontId="21" fillId="89" borderId="1" applyNumberFormat="0" applyAlignment="0" applyProtection="0"/>
    <xf numFmtId="169" fontId="21" fillId="20" borderId="1" applyNumberFormat="0" applyAlignment="0" applyProtection="0"/>
    <xf numFmtId="0" fontId="21" fillId="20" borderId="1" applyNumberFormat="0" applyAlignment="0" applyProtection="0"/>
    <xf numFmtId="169" fontId="21" fillId="20" borderId="1" applyNumberFormat="0" applyAlignment="0" applyProtection="0"/>
    <xf numFmtId="0" fontId="39" fillId="50" borderId="15" applyNumberFormat="0" applyAlignment="0" applyProtection="0"/>
    <xf numFmtId="0" fontId="21" fillId="20" borderId="1" applyNumberFormat="0" applyAlignment="0" applyProtection="0"/>
    <xf numFmtId="170" fontId="78" fillId="68" borderId="26">
      <alignment horizontal="center" vertical="center"/>
    </xf>
    <xf numFmtId="0" fontId="21" fillId="20" borderId="1" applyNumberFormat="0" applyAlignment="0" applyProtection="0"/>
    <xf numFmtId="0" fontId="21" fillId="20" borderId="1" applyNumberFormat="0" applyAlignment="0" applyProtection="0"/>
    <xf numFmtId="171" fontId="13" fillId="0" borderId="0"/>
    <xf numFmtId="172" fontId="13" fillId="0" borderId="0"/>
    <xf numFmtId="173" fontId="13" fillId="0" borderId="0"/>
    <xf numFmtId="174" fontId="13" fillId="0" borderId="0"/>
    <xf numFmtId="175" fontId="13" fillId="0" borderId="0"/>
    <xf numFmtId="17" fontId="13" fillId="0" borderId="0"/>
    <xf numFmtId="20" fontId="13" fillId="0" borderId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169" fontId="22" fillId="21" borderId="2" applyNumberFormat="0" applyAlignment="0" applyProtection="0"/>
    <xf numFmtId="0" fontId="22" fillId="21" borderId="2" applyNumberFormat="0" applyAlignment="0" applyProtection="0"/>
    <xf numFmtId="0" fontId="40" fillId="51" borderId="16" applyNumberFormat="0" applyAlignment="0" applyProtection="0"/>
    <xf numFmtId="0" fontId="22" fillId="21" borderId="2" applyNumberFormat="0" applyAlignment="0" applyProtection="0"/>
    <xf numFmtId="169" fontId="22" fillId="90" borderId="2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3" fontId="13" fillId="0" borderId="0" applyFont="0" applyFill="0" applyBorder="0" applyAlignment="0" applyProtection="0"/>
    <xf numFmtId="169" fontId="13" fillId="0" borderId="0" applyBorder="0"/>
    <xf numFmtId="169" fontId="13" fillId="0" borderId="0" applyBorder="0"/>
    <xf numFmtId="169" fontId="13" fillId="0" borderId="0" applyBorder="0"/>
    <xf numFmtId="169" fontId="12" fillId="0" borderId="0"/>
    <xf numFmtId="169" fontId="12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66" fillId="0" borderId="0">
      <alignment horizontal="center"/>
    </xf>
    <xf numFmtId="169" fontId="13" fillId="0" borderId="0">
      <alignment horizontal="center"/>
    </xf>
    <xf numFmtId="169" fontId="13" fillId="0" borderId="0">
      <alignment wrapText="1"/>
    </xf>
    <xf numFmtId="169" fontId="74" fillId="0" borderId="0"/>
    <xf numFmtId="169" fontId="69" fillId="0" borderId="0"/>
    <xf numFmtId="169" fontId="69" fillId="0" borderId="0"/>
    <xf numFmtId="169" fontId="69" fillId="0" borderId="0"/>
    <xf numFmtId="169" fontId="69" fillId="0" borderId="0"/>
    <xf numFmtId="169" fontId="81" fillId="0" borderId="0"/>
    <xf numFmtId="164" fontId="65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65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83" fillId="0" borderId="0"/>
    <xf numFmtId="169" fontId="84" fillId="0" borderId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6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63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169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52" borderId="0" applyNumberFormat="0" applyBorder="0" applyAlignment="0" applyProtection="0"/>
    <xf numFmtId="0" fontId="24" fillId="4" borderId="0" applyNumberFormat="0" applyBorder="0" applyAlignment="0" applyProtection="0"/>
    <xf numFmtId="169" fontId="24" fillId="9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169" fontId="25" fillId="0" borderId="3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85" fillId="0" borderId="28" applyNumberFormat="0" applyFill="0" applyAlignment="0" applyProtection="0"/>
    <xf numFmtId="169" fontId="25" fillId="0" borderId="3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0" fontId="43" fillId="0" borderId="17" applyNumberFormat="0" applyFill="0" applyAlignment="0" applyProtection="0"/>
    <xf numFmtId="0" fontId="25" fillId="0" borderId="3" applyNumberFormat="0" applyFill="0" applyAlignment="0" applyProtection="0"/>
    <xf numFmtId="169" fontId="85" fillId="0" borderId="28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29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86" fillId="0" borderId="4" applyNumberFormat="0" applyFill="0" applyAlignment="0" applyProtection="0"/>
    <xf numFmtId="169" fontId="86" fillId="0" borderId="4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86" fillId="0" borderId="4" applyNumberFormat="0" applyFill="0" applyAlignment="0" applyProtection="0"/>
    <xf numFmtId="0" fontId="26" fillId="0" borderId="4" applyNumberFormat="0" applyFill="0" applyAlignment="0" applyProtection="0"/>
    <xf numFmtId="169" fontId="26" fillId="0" borderId="4" applyNumberFormat="0" applyFill="0" applyAlignment="0" applyProtection="0"/>
    <xf numFmtId="0" fontId="26" fillId="0" borderId="4" applyNumberFormat="0" applyFill="0" applyAlignment="0" applyProtection="0"/>
    <xf numFmtId="0" fontId="44" fillId="0" borderId="18" applyNumberFormat="0" applyFill="0" applyAlignment="0" applyProtection="0"/>
    <xf numFmtId="0" fontId="26" fillId="0" borderId="4" applyNumberFormat="0" applyFill="0" applyAlignment="0" applyProtection="0"/>
    <xf numFmtId="169" fontId="86" fillId="0" borderId="30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1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87" fillId="0" borderId="32" applyNumberFormat="0" applyFill="0" applyAlignment="0" applyProtection="0"/>
    <xf numFmtId="169" fontId="87" fillId="0" borderId="32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87" fillId="0" borderId="32" applyNumberFormat="0" applyFill="0" applyAlignment="0" applyProtection="0"/>
    <xf numFmtId="0" fontId="27" fillId="0" borderId="5" applyNumberFormat="0" applyFill="0" applyAlignment="0" applyProtection="0"/>
    <xf numFmtId="169" fontId="27" fillId="0" borderId="5" applyNumberFormat="0" applyFill="0" applyAlignment="0" applyProtection="0"/>
    <xf numFmtId="0" fontId="27" fillId="0" borderId="5" applyNumberFormat="0" applyFill="0" applyAlignment="0" applyProtection="0"/>
    <xf numFmtId="0" fontId="45" fillId="0" borderId="19" applyNumberFormat="0" applyFill="0" applyAlignment="0" applyProtection="0"/>
    <xf numFmtId="0" fontId="27" fillId="0" borderId="5" applyNumberFormat="0" applyFill="0" applyAlignment="0" applyProtection="0"/>
    <xf numFmtId="169" fontId="87" fillId="0" borderId="33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9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69" fontId="8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1" fontId="70" fillId="92" borderId="0"/>
    <xf numFmtId="172" fontId="70" fillId="92" borderId="0"/>
    <xf numFmtId="173" fontId="70" fillId="92" borderId="0"/>
    <xf numFmtId="169" fontId="13" fillId="92" borderId="0">
      <protection locked="0"/>
    </xf>
    <xf numFmtId="176" fontId="13" fillId="92" borderId="0">
      <protection locked="0"/>
    </xf>
    <xf numFmtId="174" fontId="13" fillId="92" borderId="0">
      <protection locked="0"/>
    </xf>
    <xf numFmtId="175" fontId="13" fillId="92" borderId="0">
      <protection locked="0"/>
    </xf>
    <xf numFmtId="17" fontId="13" fillId="92" borderId="0">
      <protection locked="0"/>
    </xf>
    <xf numFmtId="20" fontId="13" fillId="92" borderId="0"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46" fillId="53" borderId="15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7" borderId="1" applyNumberFormat="0" applyAlignment="0" applyProtection="0"/>
    <xf numFmtId="0" fontId="28" fillId="22" borderId="1" applyNumberFormat="0" applyAlignment="0" applyProtection="0"/>
    <xf numFmtId="169" fontId="78" fillId="93" borderId="26" applyNumberFormat="0">
      <alignment horizontal="center" vertical="center"/>
      <protection locked="0"/>
    </xf>
    <xf numFmtId="169" fontId="78" fillId="93" borderId="26" applyNumberFormat="0">
      <alignment horizontal="center" vertical="center"/>
      <protection locked="0"/>
    </xf>
    <xf numFmtId="169" fontId="28" fillId="22" borderId="1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0" fontId="28" fillId="7" borderId="1" applyNumberFormat="0" applyAlignment="0" applyProtection="0"/>
    <xf numFmtId="169" fontId="28" fillId="22" borderId="1" applyNumberFormat="0" applyAlignment="0" applyProtection="0"/>
    <xf numFmtId="169" fontId="28" fillId="22" borderId="1" applyNumberFormat="0" applyAlignment="0" applyProtection="0"/>
    <xf numFmtId="169" fontId="28" fillId="7" borderId="1" applyNumberFormat="0" applyAlignment="0" applyProtection="0"/>
    <xf numFmtId="0" fontId="28" fillId="7" borderId="1" applyNumberFormat="0" applyAlignment="0" applyProtection="0"/>
    <xf numFmtId="169" fontId="28" fillId="7" borderId="1" applyNumberFormat="0" applyAlignment="0" applyProtection="0"/>
    <xf numFmtId="0" fontId="46" fillId="53" borderId="15" applyNumberFormat="0" applyAlignment="0" applyProtection="0"/>
    <xf numFmtId="0" fontId="28" fillId="7" borderId="1" applyNumberFormat="0" applyAlignment="0" applyProtection="0"/>
    <xf numFmtId="169" fontId="78" fillId="93" borderId="26" applyNumberFormat="0">
      <alignment horizontal="center" vertical="center"/>
      <protection locked="0"/>
    </xf>
    <xf numFmtId="0" fontId="28" fillId="7" borderId="1" applyNumberFormat="0" applyAlignment="0" applyProtection="0"/>
    <xf numFmtId="0" fontId="28" fillId="7" borderId="1" applyNumberFormat="0" applyAlignment="0" applyProtection="0"/>
    <xf numFmtId="169" fontId="13" fillId="92" borderId="0">
      <protection locked="0"/>
    </xf>
    <xf numFmtId="169" fontId="13" fillId="92" borderId="0">
      <protection locked="0"/>
    </xf>
    <xf numFmtId="169" fontId="12" fillId="92" borderId="0">
      <protection locked="0"/>
    </xf>
    <xf numFmtId="169" fontId="13" fillId="92" borderId="0">
      <alignment horizontal="center"/>
      <protection locked="0"/>
    </xf>
    <xf numFmtId="169" fontId="13" fillId="92" borderId="0">
      <protection locked="0"/>
    </xf>
    <xf numFmtId="169" fontId="13" fillId="92" borderId="0"/>
    <xf numFmtId="169" fontId="13" fillId="92" borderId="0">
      <alignment wrapText="1"/>
      <protection locked="0"/>
    </xf>
    <xf numFmtId="169" fontId="74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69" fillId="92" borderId="0">
      <protection locked="0"/>
    </xf>
    <xf numFmtId="169" fontId="81" fillId="92" borderId="0">
      <protection locked="0"/>
    </xf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4" fillId="0" borderId="34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29" fillId="0" borderId="6" applyNumberFormat="0" applyFill="0" applyAlignment="0" applyProtection="0"/>
    <xf numFmtId="169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88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169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48" fillId="54" borderId="0" applyNumberFormat="0" applyBorder="0" applyAlignment="0" applyProtection="0"/>
    <xf numFmtId="0" fontId="30" fillId="22" borderId="0" applyNumberFormat="0" applyBorder="0" applyAlignment="0" applyProtection="0"/>
    <xf numFmtId="169" fontId="30" fillId="94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1" fontId="69" fillId="0" borderId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169" fontId="13" fillId="0" borderId="0"/>
    <xf numFmtId="169" fontId="13" fillId="0" borderId="0"/>
    <xf numFmtId="0" fontId="65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9" fontId="13" fillId="0" borderId="0"/>
    <xf numFmtId="0" fontId="5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169" fontId="67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5" fillId="0" borderId="0"/>
    <xf numFmtId="0" fontId="13" fillId="0" borderId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55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169" fontId="82" fillId="93" borderId="7" applyNumberForma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169" fontId="82" fillId="94" borderId="7" applyNumberForma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169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69" fontId="82" fillId="94" borderId="7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23" borderId="7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0" fontId="18" fillId="55" borderId="21" applyNumberFormat="0" applyFont="0" applyAlignment="0" applyProtection="0"/>
    <xf numFmtId="177" fontId="73" fillId="0" borderId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169" fontId="31" fillId="73" borderId="8" applyNumberFormat="0" applyAlignment="0" applyProtection="0"/>
    <xf numFmtId="0" fontId="31" fillId="20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0" fontId="31" fillId="89" borderId="8" applyNumberFormat="0" applyAlignment="0" applyProtection="0"/>
    <xf numFmtId="169" fontId="31" fillId="60" borderId="8" applyNumberFormat="0" applyAlignment="0" applyProtection="0"/>
    <xf numFmtId="169" fontId="31" fillId="60" borderId="8" applyNumberFormat="0" applyAlignment="0" applyProtection="0"/>
    <xf numFmtId="169" fontId="31" fillId="89" borderId="8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0" fontId="31" fillId="20" borderId="8" applyNumberFormat="0" applyAlignment="0" applyProtection="0"/>
    <xf numFmtId="169" fontId="31" fillId="89" borderId="8" applyNumberFormat="0" applyAlignment="0" applyProtection="0"/>
    <xf numFmtId="169" fontId="31" fillId="89" borderId="8" applyNumberFormat="0" applyAlignment="0" applyProtection="0"/>
    <xf numFmtId="169" fontId="31" fillId="20" borderId="8" applyNumberFormat="0" applyAlignment="0" applyProtection="0"/>
    <xf numFmtId="0" fontId="31" fillId="20" borderId="8" applyNumberFormat="0" applyAlignment="0" applyProtection="0"/>
    <xf numFmtId="169" fontId="31" fillId="20" borderId="8" applyNumberFormat="0" applyAlignment="0" applyProtection="0"/>
    <xf numFmtId="0" fontId="49" fillId="50" borderId="22" applyNumberFormat="0" applyAlignment="0" applyProtection="0"/>
    <xf numFmtId="0" fontId="31" fillId="20" borderId="8" applyNumberFormat="0" applyAlignment="0" applyProtection="0"/>
    <xf numFmtId="169" fontId="31" fillId="60" borderId="8" applyNumberFormat="0" applyAlignment="0" applyProtection="0"/>
    <xf numFmtId="0" fontId="31" fillId="20" borderId="8" applyNumberFormat="0" applyAlignment="0" applyProtection="0"/>
    <xf numFmtId="0" fontId="31" fillId="20" borderId="8" applyNumberFormat="0" applyAlignment="0" applyProtection="0"/>
    <xf numFmtId="9" fontId="13" fillId="0" borderId="0" applyFont="0" applyFill="0" applyBorder="0" applyAlignment="0" applyProtection="0"/>
    <xf numFmtId="9" fontId="82" fillId="0" borderId="0" applyFill="0" applyBorder="0" applyAlignment="0" applyProtection="0"/>
    <xf numFmtId="9" fontId="13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9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9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69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9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82" fillId="96" borderId="0" applyNumberForma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0" fontId="67" fillId="95" borderId="0" applyNumberFormat="0" applyFont="0" applyBorder="0" applyAlignment="0" applyProtection="0"/>
    <xf numFmtId="169" fontId="67" fillId="95" borderId="0" applyNumberFormat="0" applyFont="0" applyBorder="0" applyAlignment="0" applyProtection="0"/>
    <xf numFmtId="171" fontId="13" fillId="0" borderId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74" fillId="0" borderId="0" applyNumberFormat="0" applyFill="0" applyBorder="0" applyAlignment="0" applyProtection="0"/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0" fillId="60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91" fillId="97" borderId="0" applyNumberFormat="0" applyBorder="0">
      <alignment horizontal="left"/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82" fillId="94" borderId="0" applyNumberForma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98" borderId="0" applyNumberFormat="0" applyFont="0" applyBorder="0" applyAlignment="0">
      <protection locked="0"/>
    </xf>
    <xf numFmtId="169" fontId="13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9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93" fillId="65" borderId="26" applyProtection="0">
      <alignment horizontal="center" vertical="center"/>
    </xf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6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37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9" applyNumberFormat="0" applyFill="0" applyAlignment="0" applyProtection="0"/>
    <xf numFmtId="0" fontId="51" fillId="0" borderId="23" applyNumberFormat="0" applyFill="0" applyAlignment="0" applyProtection="0"/>
    <xf numFmtId="0" fontId="33" fillId="0" borderId="9" applyNumberFormat="0" applyFill="0" applyAlignment="0" applyProtection="0"/>
    <xf numFmtId="169" fontId="33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4" fillId="65" borderId="38">
      <alignment horizontal="center" vertical="top" textRotation="90" wrapText="1"/>
    </xf>
    <xf numFmtId="169" fontId="95" fillId="0" borderId="0">
      <alignment horizontal="center"/>
    </xf>
    <xf numFmtId="169" fontId="96" fillId="66" borderId="0"/>
    <xf numFmtId="169" fontId="97" fillId="99" borderId="0"/>
    <xf numFmtId="169" fontId="96" fillId="66" borderId="0"/>
    <xf numFmtId="169" fontId="96" fillId="59" borderId="0"/>
    <xf numFmtId="169" fontId="98" fillId="66" borderId="26">
      <alignment horizontal="center" vertical="center"/>
    </xf>
    <xf numFmtId="169" fontId="98" fillId="66" borderId="26">
      <alignment horizontal="center" vertical="center"/>
    </xf>
    <xf numFmtId="169" fontId="98" fillId="66" borderId="26">
      <alignment horizontal="center" vertical="center"/>
    </xf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0" borderId="8" applyNumberFormat="0" applyAlignment="0" applyProtection="0"/>
    <xf numFmtId="0" fontId="21" fillId="20" borderId="1" applyNumberFormat="0" applyAlignment="0" applyProtection="0"/>
    <xf numFmtId="0" fontId="28" fillId="7" borderId="1" applyNumberFormat="0" applyAlignment="0" applyProtection="0"/>
    <xf numFmtId="0" fontId="33" fillId="0" borderId="9" applyNumberFormat="0" applyFill="0" applyAlignment="0" applyProtection="0"/>
    <xf numFmtId="0" fontId="23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13" fillId="23" borderId="7" applyNumberFormat="0" applyFont="0" applyAlignment="0" applyProtection="0"/>
    <xf numFmtId="0" fontId="20" fillId="3" borderId="0" applyNumberFormat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2" fillId="100" borderId="13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22" fillId="21" borderId="2" applyNumberFormat="0" applyAlignment="0" applyProtection="0"/>
    <xf numFmtId="0" fontId="36" fillId="0" borderId="0"/>
    <xf numFmtId="0" fontId="36" fillId="0" borderId="0"/>
    <xf numFmtId="0" fontId="36" fillId="0" borderId="0"/>
    <xf numFmtId="9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4" fillId="0" borderId="0"/>
    <xf numFmtId="0" fontId="36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4" fillId="0" borderId="0" applyNumberFormat="0" applyFill="0" applyBorder="0" applyAlignment="0" applyProtection="0"/>
    <xf numFmtId="0" fontId="21" fillId="20" borderId="1" applyNumberFormat="0" applyAlignment="0" applyProtection="0"/>
    <xf numFmtId="0" fontId="29" fillId="0" borderId="6" applyNumberFormat="0" applyFill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8" fillId="7" borderId="1" applyNumberFormat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ill="0" applyBorder="0" applyAlignment="0" applyProtection="0"/>
    <xf numFmtId="0" fontId="100" fillId="53" borderId="15" applyNumberFormat="0" applyAlignment="0" applyProtection="0"/>
    <xf numFmtId="0" fontId="20" fillId="3" borderId="0" applyNumberFormat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0" fontId="30" fillId="22" borderId="0" applyNumberFormat="0" applyBorder="0" applyAlignment="0" applyProtection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13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1" fillId="0" borderId="0" applyNumberFormat="0" applyFill="0" applyBorder="0" applyProtection="0">
      <alignment horizontal="left" vertical="center"/>
    </xf>
    <xf numFmtId="4" fontId="13" fillId="103" borderId="0" applyNumberFormat="0" applyFont="0" applyBorder="0" applyAlignment="0" applyProtection="0"/>
    <xf numFmtId="4" fontId="13" fillId="103" borderId="0" applyNumberFormat="0" applyFont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104" borderId="7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4" borderId="0" applyNumberFormat="0" applyBorder="0" applyAlignment="0" applyProtection="0"/>
    <xf numFmtId="0" fontId="31" fillId="20" borderId="8" applyNumberFormat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26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77" borderId="26" applyNumberFormat="0" applyProtection="0">
      <alignment horizontal="righ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77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77" borderId="26" applyNumberFormat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26" applyNumberFormat="0" applyFill="0" applyProtection="0">
      <alignment horizontal="righ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5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6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2" fillId="21" borderId="2" applyNumberFormat="0" applyAlignment="0" applyProtection="0"/>
    <xf numFmtId="4" fontId="99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5" fillId="0" borderId="0" applyFont="0" applyFill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29" borderId="0" applyNumberFormat="0" applyBorder="0" applyAlignment="0" applyProtection="0"/>
    <xf numFmtId="0" fontId="36" fillId="33" borderId="0" applyNumberFormat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0" fontId="36" fillId="36" borderId="0" applyNumberFormat="0" applyBorder="0" applyAlignment="0" applyProtection="0"/>
    <xf numFmtId="169" fontId="36" fillId="0" borderId="0"/>
    <xf numFmtId="169" fontId="36" fillId="0" borderId="0"/>
    <xf numFmtId="169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69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9" fontId="35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95" fillId="101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9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6" fillId="0" borderId="0"/>
    <xf numFmtId="0" fontId="36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right"/>
    </xf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2" fillId="100" borderId="13" applyNumberFormat="0" applyProtection="0">
      <alignment horizontal="left"/>
    </xf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5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53" fillId="0" borderId="0"/>
    <xf numFmtId="0" fontId="36" fillId="0" borderId="0"/>
    <xf numFmtId="0" fontId="53" fillId="0" borderId="0"/>
    <xf numFmtId="0" fontId="57" fillId="0" borderId="0"/>
    <xf numFmtId="0" fontId="5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46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6" fillId="53" borderId="15" applyNumberFormat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6" fillId="0" borderId="0" applyNumberForma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49" fontId="13" fillId="0" borderId="13" applyFill="0" applyProtection="0">
      <alignment horizontal="righ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95" fillId="101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left"/>
    </xf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39" fillId="89" borderId="15" applyNumberFormat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right"/>
    </xf>
    <xf numFmtId="0" fontId="66" fillId="102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57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39" fillId="50" borderId="15" applyNumberFormat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39" fillId="89" borderId="15" applyNumberFormat="0" applyAlignment="0" applyProtection="0"/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68" fillId="100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2" fillId="53" borderId="15" applyNumberFormat="0" applyAlignment="0" applyProtection="0"/>
    <xf numFmtId="0" fontId="13" fillId="0" borderId="0"/>
    <xf numFmtId="0" fontId="13" fillId="0" borderId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0" fontId="13" fillId="0" borderId="0"/>
    <xf numFmtId="0" fontId="95" fillId="101" borderId="0" applyNumberFormat="0" applyBorder="0" applyProtection="0">
      <alignment horizontal="left"/>
    </xf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18" fillId="0" borderId="0" applyFont="0" applyFill="0" applyBorder="0" applyAlignment="0" applyProtection="0"/>
    <xf numFmtId="0" fontId="13" fillId="0" borderId="0"/>
    <xf numFmtId="0" fontId="95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2" fillId="100" borderId="13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39" fillId="89" borderId="15" applyNumberFormat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2" fillId="100" borderId="13" applyNumberFormat="0" applyProtection="0">
      <alignment horizontal="right"/>
    </xf>
    <xf numFmtId="0" fontId="13" fillId="0" borderId="0"/>
    <xf numFmtId="0" fontId="66" fillId="10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8" fillId="100" borderId="0" applyNumberFormat="0" applyBorder="0" applyProtection="0">
      <alignment horizontal="left"/>
    </xf>
    <xf numFmtId="165" fontId="18" fillId="0" borderId="0" applyFont="0" applyFill="0" applyBorder="0" applyAlignment="0" applyProtection="0"/>
    <xf numFmtId="0" fontId="13" fillId="0" borderId="13" applyNumberFormat="0" applyFill="0" applyProtection="0">
      <alignment horizontal="right"/>
    </xf>
    <xf numFmtId="0" fontId="13" fillId="0" borderId="0"/>
    <xf numFmtId="0" fontId="13" fillId="0" borderId="0"/>
    <xf numFmtId="49" fontId="13" fillId="0" borderId="13" applyFill="0" applyProtection="0">
      <alignment horizontal="right"/>
    </xf>
    <xf numFmtId="0" fontId="13" fillId="0" borderId="0"/>
    <xf numFmtId="0" fontId="12" fillId="100" borderId="13" applyNumberFormat="0" applyProtection="0">
      <alignment horizontal="right"/>
    </xf>
    <xf numFmtId="49" fontId="13" fillId="0" borderId="13" applyFill="0" applyProtection="0">
      <alignment horizontal="righ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100" borderId="13" applyNumberFormat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0" fontId="95" fillId="10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5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3" fillId="0" borderId="0"/>
    <xf numFmtId="165" fontId="18" fillId="0" borderId="0" applyFont="0" applyFill="0" applyBorder="0" applyAlignment="0" applyProtection="0"/>
    <xf numFmtId="0" fontId="66" fillId="102" borderId="0" applyNumberFormat="0" applyBorder="0" applyProtection="0">
      <alignment horizontal="left"/>
    </xf>
    <xf numFmtId="0" fontId="68" fillId="100" borderId="0" applyNumberFormat="0" applyBorder="0" applyProtection="0">
      <alignment horizontal="left"/>
    </xf>
    <xf numFmtId="49" fontId="13" fillId="0" borderId="13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102" borderId="0" applyNumberFormat="0" applyBorder="0" applyProtection="0">
      <alignment horizontal="left"/>
    </xf>
    <xf numFmtId="0" fontId="95" fillId="101" borderId="0" applyNumberFormat="0" applyBorder="0" applyProtection="0">
      <alignment horizontal="left"/>
    </xf>
    <xf numFmtId="165" fontId="13" fillId="0" borderId="0" applyFont="0" applyFill="0" applyBorder="0" applyAlignment="0" applyProtection="0"/>
    <xf numFmtId="0" fontId="13" fillId="0" borderId="0"/>
    <xf numFmtId="0" fontId="68" fillId="100" borderId="0" applyNumberFormat="0" applyBorder="0" applyProtection="0">
      <alignment horizontal="left"/>
    </xf>
    <xf numFmtId="0" fontId="13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9" fillId="89" borderId="15" applyNumberFormat="0" applyAlignment="0" applyProtection="0"/>
    <xf numFmtId="0" fontId="66" fillId="102" borderId="0" applyNumberFormat="0" applyBorder="0" applyProtection="0">
      <alignment horizontal="left"/>
    </xf>
    <xf numFmtId="43" fontId="13" fillId="0" borderId="0" applyFont="0" applyFill="0" applyBorder="0" applyAlignment="0" applyProtection="0"/>
    <xf numFmtId="49" fontId="13" fillId="0" borderId="13" applyFill="0" applyProtection="0">
      <alignment horizontal="right"/>
    </xf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109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2" fillId="0" borderId="0">
      <alignment vertical="top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3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7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3" fillId="29" borderId="0" applyNumberFormat="0" applyBorder="0" applyAlignment="0" applyProtection="0"/>
    <xf numFmtId="0" fontId="3" fillId="0" borderId="0"/>
    <xf numFmtId="0" fontId="3" fillId="0" borderId="0"/>
    <xf numFmtId="0" fontId="13" fillId="0" borderId="0"/>
    <xf numFmtId="0" fontId="2" fillId="0" borderId="0"/>
    <xf numFmtId="0" fontId="129" fillId="0" borderId="0" applyNumberFormat="0" applyFill="0" applyBorder="0" applyAlignment="0" applyProtection="0"/>
    <xf numFmtId="0" fontId="45" fillId="0" borderId="19" applyNumberFormat="0" applyFill="0" applyAlignment="0" applyProtection="0"/>
    <xf numFmtId="0" fontId="45" fillId="0" borderId="0" applyNumberFormat="0" applyFill="0" applyBorder="0" applyAlignment="0" applyProtection="0"/>
    <xf numFmtId="0" fontId="42" fillId="52" borderId="0" applyNumberFormat="0" applyBorder="0" applyAlignment="0" applyProtection="0"/>
    <xf numFmtId="0" fontId="38" fillId="49" borderId="0" applyNumberFormat="0" applyBorder="0" applyAlignment="0" applyProtection="0"/>
    <xf numFmtId="0" fontId="46" fillId="53" borderId="15" applyNumberFormat="0" applyAlignment="0" applyProtection="0"/>
    <xf numFmtId="0" fontId="49" fillId="50" borderId="22" applyNumberFormat="0" applyAlignment="0" applyProtection="0"/>
    <xf numFmtId="0" fontId="39" fillId="50" borderId="15" applyNumberFormat="0" applyAlignment="0" applyProtection="0"/>
    <xf numFmtId="0" fontId="47" fillId="0" borderId="20" applyNumberFormat="0" applyFill="0" applyAlignment="0" applyProtection="0"/>
    <xf numFmtId="0" fontId="40" fillId="51" borderId="16" applyNumberFormat="0" applyAlignment="0" applyProtection="0"/>
    <xf numFmtId="0" fontId="5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7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37" fillId="37" borderId="0" applyNumberFormat="0" applyBorder="0" applyAlignment="0" applyProtection="0"/>
    <xf numFmtId="0" fontId="37" fillId="44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37" fillId="38" borderId="0" applyNumberFormat="0" applyBorder="0" applyAlignment="0" applyProtection="0"/>
    <xf numFmtId="0" fontId="37" fillId="45" borderId="0" applyNumberFormat="0" applyBorder="0" applyAlignment="0" applyProtection="0"/>
    <xf numFmtId="0" fontId="1" fillId="33" borderId="0" applyNumberFormat="0" applyBorder="0" applyAlignment="0" applyProtection="0"/>
    <xf numFmtId="0" fontId="37" fillId="39" borderId="0" applyNumberFormat="0" applyBorder="0" applyAlignment="0" applyProtection="0"/>
    <xf numFmtId="0" fontId="37" fillId="46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1" fillId="35" borderId="0" applyNumberFormat="0" applyBorder="0" applyAlignment="0" applyProtection="0"/>
    <xf numFmtId="0" fontId="37" fillId="41" borderId="0" applyNumberFormat="0" applyBorder="0" applyAlignment="0" applyProtection="0"/>
    <xf numFmtId="0" fontId="37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37" fillId="42" borderId="0" applyNumberFormat="0" applyBorder="0" applyAlignment="0" applyProtection="0"/>
    <xf numFmtId="0" fontId="1" fillId="0" borderId="0"/>
    <xf numFmtId="0" fontId="130" fillId="0" borderId="0"/>
    <xf numFmtId="0" fontId="130" fillId="0" borderId="0"/>
    <xf numFmtId="0" fontId="130" fillId="0" borderId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0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43" fontId="13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" fontId="114" fillId="0" borderId="48" applyNumberFormat="0" applyFont="0" applyFill="0" applyAlignment="0" applyProtection="0"/>
    <xf numFmtId="0" fontId="1" fillId="0" borderId="0"/>
    <xf numFmtId="0" fontId="1" fillId="55" borderId="21" applyNumberFormat="0" applyFont="0" applyAlignment="0" applyProtection="0"/>
    <xf numFmtId="0" fontId="1" fillId="27" borderId="0" applyNumberFormat="0" applyBorder="0" applyAlignment="0" applyProtection="0"/>
    <xf numFmtId="0" fontId="56" fillId="0" borderId="0" applyNumberFormat="0" applyFill="0" applyBorder="0" applyAlignment="0" applyProtection="0"/>
    <xf numFmtId="0" fontId="13" fillId="0" borderId="0">
      <alignment vertical="top"/>
    </xf>
    <xf numFmtId="43" fontId="13" fillId="0" borderId="0" applyFont="0" applyFill="0" applyBorder="0" applyAlignment="0" applyProtection="0"/>
    <xf numFmtId="0" fontId="13" fillId="0" borderId="0">
      <alignment vertical="top"/>
    </xf>
  </cellStyleXfs>
  <cellXfs count="370">
    <xf numFmtId="0" fontId="0" fillId="0" borderId="0" xfId="0"/>
    <xf numFmtId="0" fontId="59" fillId="0" borderId="0" xfId="0" applyFont="1"/>
    <xf numFmtId="0" fontId="59" fillId="0" borderId="0" xfId="0" applyFont="1" applyAlignment="1">
      <alignment horizontal="left" vertical="top"/>
    </xf>
    <xf numFmtId="167" fontId="62" fillId="0" borderId="0" xfId="0" applyNumberFormat="1" applyFont="1" applyAlignment="1">
      <alignment horizontal="left" vertical="top"/>
    </xf>
    <xf numFmtId="167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1" xfId="1" applyNumberFormat="1" applyFont="1" applyBorder="1" applyAlignment="1">
      <alignment horizontal="left" vertical="top" wrapText="1"/>
    </xf>
    <xf numFmtId="167" fontId="59" fillId="0" borderId="0" xfId="0" applyNumberFormat="1" applyFont="1" applyFill="1" applyAlignment="1">
      <alignment horizontal="left" vertical="top"/>
    </xf>
    <xf numFmtId="0" fontId="59" fillId="0" borderId="0" xfId="0" applyFont="1" applyFill="1" applyAlignment="1">
      <alignment horizontal="left" vertical="top" wrapText="1"/>
    </xf>
    <xf numFmtId="0" fontId="59" fillId="0" borderId="0" xfId="4" applyFont="1" applyFill="1" applyBorder="1" applyAlignment="1">
      <alignment horizontal="left" vertical="top"/>
    </xf>
    <xf numFmtId="0" fontId="59" fillId="0" borderId="0" xfId="4" applyFont="1" applyFill="1" applyBorder="1" applyAlignment="1">
      <alignment horizontal="left" vertical="top" wrapText="1"/>
    </xf>
    <xf numFmtId="0" fontId="62" fillId="0" borderId="0" xfId="6" applyFont="1" applyFill="1" applyAlignment="1">
      <alignment horizontal="left" vertical="top"/>
    </xf>
    <xf numFmtId="0" fontId="60" fillId="24" borderId="10" xfId="6" applyFont="1" applyFill="1" applyBorder="1" applyAlignment="1">
      <alignment horizontal="left" vertical="top"/>
    </xf>
    <xf numFmtId="0" fontId="60" fillId="24" borderId="10" xfId="6" applyFont="1" applyFill="1" applyBorder="1" applyAlignment="1">
      <alignment horizontal="left" vertical="top" wrapText="1"/>
    </xf>
    <xf numFmtId="167" fontId="63" fillId="29" borderId="10" xfId="1" applyNumberFormat="1" applyFont="1" applyBorder="1" applyAlignment="1">
      <alignment horizontal="left" vertical="top" wrapText="1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7" fontId="59" fillId="0" borderId="24" xfId="0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center" vertical="center"/>
    </xf>
    <xf numFmtId="0" fontId="59" fillId="57" borderId="24" xfId="3" applyFont="1" applyFill="1" applyBorder="1"/>
    <xf numFmtId="167" fontId="59" fillId="0" borderId="24" xfId="4" applyNumberFormat="1" applyFont="1" applyFill="1" applyBorder="1" applyAlignment="1">
      <alignment wrapText="1"/>
    </xf>
    <xf numFmtId="2" fontId="59" fillId="57" borderId="24" xfId="3" applyNumberFormat="1" applyFont="1" applyFill="1" applyBorder="1"/>
    <xf numFmtId="0" fontId="59" fillId="0" borderId="24" xfId="4" applyFont="1" applyBorder="1"/>
    <xf numFmtId="167" fontId="59" fillId="0" borderId="24" xfId="4" applyNumberFormat="1" applyFont="1" applyBorder="1"/>
    <xf numFmtId="0" fontId="59" fillId="0" borderId="24" xfId="0" applyFont="1" applyBorder="1" applyAlignment="1">
      <alignment horizontal="left" vertical="top"/>
    </xf>
    <xf numFmtId="0" fontId="62" fillId="0" borderId="0" xfId="0" applyFont="1" applyFill="1" applyAlignment="1">
      <alignment horizontal="left"/>
    </xf>
    <xf numFmtId="0" fontId="59" fillId="0" borderId="0" xfId="0" applyFont="1" applyFill="1" applyBorder="1"/>
    <xf numFmtId="0" fontId="60" fillId="56" borderId="11" xfId="6" applyFont="1" applyFill="1" applyBorder="1" applyAlignment="1">
      <alignment horizontal="left" vertical="center"/>
    </xf>
    <xf numFmtId="0" fontId="63" fillId="57" borderId="11" xfId="1" applyFont="1" applyFill="1" applyBorder="1" applyAlignment="1">
      <alignment horizontal="left" wrapText="1"/>
    </xf>
    <xf numFmtId="0" fontId="60" fillId="58" borderId="0" xfId="6" applyFont="1" applyFill="1" applyBorder="1" applyAlignment="1">
      <alignment horizontal="left" vertical="center"/>
    </xf>
    <xf numFmtId="2" fontId="59" fillId="58" borderId="0" xfId="0" applyNumberFormat="1" applyFont="1" applyFill="1"/>
    <xf numFmtId="2" fontId="59" fillId="58" borderId="0" xfId="0" applyNumberFormat="1" applyFont="1" applyFill="1" applyBorder="1"/>
    <xf numFmtId="0" fontId="59" fillId="0" borderId="0" xfId="0" applyFont="1"/>
    <xf numFmtId="167" fontId="106" fillId="0" borderId="0" xfId="4" applyNumberFormat="1" applyFont="1"/>
    <xf numFmtId="167" fontId="105" fillId="0" borderId="24" xfId="4" applyNumberFormat="1" applyFont="1" applyFill="1" applyBorder="1" applyAlignment="1">
      <alignment horizontal="left" vertical="top"/>
    </xf>
    <xf numFmtId="167" fontId="59" fillId="0" borderId="24" xfId="0" applyNumberFormat="1" applyFont="1" applyFill="1" applyBorder="1" applyAlignment="1">
      <alignment horizontal="left" vertical="top" wrapText="1"/>
    </xf>
    <xf numFmtId="167" fontId="105" fillId="0" borderId="24" xfId="4" applyNumberFormat="1" applyFont="1" applyBorder="1" applyAlignment="1">
      <alignment horizontal="left" vertical="top"/>
    </xf>
    <xf numFmtId="179" fontId="64" fillId="29" borderId="10" xfId="1" applyNumberFormat="1" applyFont="1" applyBorder="1" applyAlignment="1">
      <alignment horizontal="left" vertical="top" wrapText="1"/>
    </xf>
    <xf numFmtId="179" fontId="59" fillId="57" borderId="24" xfId="3" applyNumberFormat="1" applyFont="1" applyFill="1" applyBorder="1"/>
    <xf numFmtId="0" fontId="107" fillId="0" borderId="0" xfId="0" applyFont="1" applyAlignment="1">
      <alignment horizontal="left" vertical="top"/>
    </xf>
    <xf numFmtId="0" fontId="108" fillId="0" borderId="0" xfId="0" applyFont="1" applyFill="1" applyAlignment="1">
      <alignment horizontal="left"/>
    </xf>
    <xf numFmtId="2" fontId="0" fillId="0" borderId="0" xfId="0" applyNumberFormat="1" applyBorder="1"/>
    <xf numFmtId="0" fontId="12" fillId="24" borderId="13" xfId="0" applyFont="1" applyFill="1" applyBorder="1" applyAlignment="1">
      <alignment vertical="top" wrapText="1"/>
    </xf>
    <xf numFmtId="0" fontId="12" fillId="24" borderId="40" xfId="0" applyFont="1" applyFill="1" applyBorder="1" applyAlignment="1">
      <alignment horizontal="center" vertical="top" wrapText="1"/>
    </xf>
    <xf numFmtId="167" fontId="59" fillId="0" borderId="24" xfId="4" applyNumberFormat="1" applyFont="1" applyFill="1" applyBorder="1" applyAlignment="1">
      <alignment vertical="top"/>
    </xf>
    <xf numFmtId="167" fontId="59" fillId="0" borderId="0" xfId="0" applyNumberFormat="1" applyFont="1" applyFill="1" applyBorder="1" applyAlignment="1">
      <alignment horizontal="left" vertical="top"/>
    </xf>
    <xf numFmtId="167" fontId="105" fillId="0" borderId="0" xfId="4" applyNumberFormat="1" applyFont="1" applyFill="1" applyBorder="1" applyAlignment="1">
      <alignment horizontal="left" vertical="top"/>
    </xf>
    <xf numFmtId="167" fontId="59" fillId="0" borderId="0" xfId="0" applyNumberFormat="1" applyFont="1" applyFill="1" applyBorder="1" applyAlignment="1">
      <alignment horizontal="left" vertical="top" wrapText="1"/>
    </xf>
    <xf numFmtId="167" fontId="59" fillId="0" borderId="0" xfId="0" applyNumberFormat="1" applyFont="1" applyFill="1" applyBorder="1" applyAlignment="1">
      <alignment horizontal="center" vertical="center"/>
    </xf>
    <xf numFmtId="167" fontId="59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59" fillId="57" borderId="24" xfId="3" applyNumberFormat="1" applyFont="1" applyFill="1" applyBorder="1"/>
    <xf numFmtId="2" fontId="59" fillId="0" borderId="0" xfId="0" applyNumberFormat="1" applyFont="1" applyAlignment="1">
      <alignment horizontal="left" vertical="top"/>
    </xf>
    <xf numFmtId="9" fontId="59" fillId="0" borderId="0" xfId="0" applyNumberFormat="1" applyFont="1" applyAlignment="1">
      <alignment horizontal="left" vertical="top"/>
    </xf>
    <xf numFmtId="2" fontId="59" fillId="0" borderId="24" xfId="4" applyNumberFormat="1" applyFont="1" applyBorder="1"/>
    <xf numFmtId="0" fontId="0" fillId="0" borderId="0" xfId="0"/>
    <xf numFmtId="167" fontId="105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1" fillId="0" borderId="50" xfId="0" applyFont="1" applyBorder="1" applyAlignment="1">
      <alignment horizontal="center"/>
    </xf>
    <xf numFmtId="0" fontId="51" fillId="0" borderId="52" xfId="0" applyFont="1" applyBorder="1" applyAlignment="1">
      <alignment horizontal="center"/>
    </xf>
    <xf numFmtId="9" fontId="51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59" fillId="107" borderId="24" xfId="4" applyNumberFormat="1" applyFont="1" applyFill="1" applyBorder="1"/>
    <xf numFmtId="0" fontId="59" fillId="107" borderId="24" xfId="4" applyFont="1" applyFill="1" applyBorder="1"/>
    <xf numFmtId="2" fontId="59" fillId="107" borderId="24" xfId="3" applyNumberFormat="1" applyFont="1" applyFill="1" applyBorder="1"/>
    <xf numFmtId="1" fontId="59" fillId="107" borderId="24" xfId="3" applyNumberFormat="1" applyFont="1" applyFill="1" applyBorder="1"/>
    <xf numFmtId="167" fontId="59" fillId="108" borderId="24" xfId="4" applyNumberFormat="1" applyFont="1" applyFill="1" applyBorder="1"/>
    <xf numFmtId="0" fontId="59" fillId="108" borderId="24" xfId="4" applyFont="1" applyFill="1" applyBorder="1"/>
    <xf numFmtId="2" fontId="59" fillId="108" borderId="24" xfId="3" applyNumberFormat="1" applyFont="1" applyFill="1" applyBorder="1"/>
    <xf numFmtId="1" fontId="59" fillId="108" borderId="24" xfId="3" applyNumberFormat="1" applyFont="1" applyFill="1" applyBorder="1"/>
    <xf numFmtId="167" fontId="59" fillId="109" borderId="24" xfId="4" applyNumberFormat="1" applyFont="1" applyFill="1" applyBorder="1"/>
    <xf numFmtId="0" fontId="59" fillId="109" borderId="24" xfId="4" applyFont="1" applyFill="1" applyBorder="1"/>
    <xf numFmtId="2" fontId="59" fillId="109" borderId="24" xfId="3" applyNumberFormat="1" applyFont="1" applyFill="1" applyBorder="1"/>
    <xf numFmtId="1" fontId="59" fillId="109" borderId="24" xfId="3" applyNumberFormat="1" applyFont="1" applyFill="1" applyBorder="1"/>
    <xf numFmtId="181" fontId="59" fillId="107" borderId="24" xfId="3" applyNumberFormat="1" applyFont="1" applyFill="1" applyBorder="1"/>
    <xf numFmtId="0" fontId="60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167" fontId="59" fillId="0" borderId="78" xfId="0" applyNumberFormat="1" applyFont="1" applyFill="1" applyBorder="1" applyAlignment="1">
      <alignment horizontal="left" vertical="top"/>
    </xf>
    <xf numFmtId="167" fontId="59" fillId="0" borderId="78" xfId="4" applyNumberFormat="1" applyFont="1" applyBorder="1"/>
    <xf numFmtId="167" fontId="59" fillId="0" borderId="79" xfId="0" applyNumberFormat="1" applyFont="1" applyFill="1" applyBorder="1" applyAlignment="1">
      <alignment horizontal="left" vertical="top"/>
    </xf>
    <xf numFmtId="167" fontId="59" fillId="0" borderId="79" xfId="4" applyNumberFormat="1" applyFont="1" applyBorder="1"/>
    <xf numFmtId="167" fontId="59" fillId="0" borderId="79" xfId="4" applyNumberFormat="1" applyFont="1" applyFill="1" applyBorder="1" applyAlignment="1">
      <alignment vertical="top"/>
    </xf>
    <xf numFmtId="167" fontId="59" fillId="56" borderId="78" xfId="0" applyNumberFormat="1" applyFont="1" applyFill="1" applyBorder="1" applyAlignment="1">
      <alignment horizontal="left" vertical="top"/>
    </xf>
    <xf numFmtId="167" fontId="59" fillId="56" borderId="78" xfId="4" applyNumberFormat="1" applyFont="1" applyFill="1" applyBorder="1"/>
    <xf numFmtId="167" fontId="59" fillId="56" borderId="78" xfId="4" applyNumberFormat="1" applyFont="1" applyFill="1" applyBorder="1" applyAlignment="1">
      <alignment vertical="top"/>
    </xf>
    <xf numFmtId="167" fontId="59" fillId="56" borderId="24" xfId="0" applyNumberFormat="1" applyFont="1" applyFill="1" applyBorder="1" applyAlignment="1">
      <alignment horizontal="left" vertical="top"/>
    </xf>
    <xf numFmtId="167" fontId="59" fillId="56" borderId="24" xfId="4" applyNumberFormat="1" applyFont="1" applyFill="1" applyBorder="1"/>
    <xf numFmtId="167" fontId="59" fillId="56" borderId="24" xfId="4" applyNumberFormat="1" applyFont="1" applyFill="1" applyBorder="1" applyAlignment="1">
      <alignment vertical="top"/>
    </xf>
    <xf numFmtId="167" fontId="59" fillId="56" borderId="79" xfId="0" applyNumberFormat="1" applyFont="1" applyFill="1" applyBorder="1" applyAlignment="1">
      <alignment horizontal="left" vertical="top"/>
    </xf>
    <xf numFmtId="167" fontId="59" fillId="56" borderId="79" xfId="4" applyNumberFormat="1" applyFont="1" applyFill="1" applyBorder="1"/>
    <xf numFmtId="167" fontId="59" fillId="56" borderId="79" xfId="4" applyNumberFormat="1" applyFont="1" applyFill="1" applyBorder="1" applyAlignment="1">
      <alignment vertical="top"/>
    </xf>
    <xf numFmtId="0" fontId="59" fillId="0" borderId="78" xfId="0" applyFont="1" applyBorder="1" applyAlignment="1">
      <alignment horizontal="left" vertical="top"/>
    </xf>
    <xf numFmtId="167" fontId="59" fillId="0" borderId="78" xfId="4" applyNumberFormat="1" applyFont="1" applyFill="1" applyBorder="1" applyAlignment="1">
      <alignment wrapText="1"/>
    </xf>
    <xf numFmtId="0" fontId="59" fillId="56" borderId="79" xfId="0" applyFont="1" applyFill="1" applyBorder="1" applyAlignment="1">
      <alignment horizontal="left" vertical="top"/>
    </xf>
    <xf numFmtId="167" fontId="59" fillId="56" borderId="79" xfId="4" applyNumberFormat="1" applyFont="1" applyFill="1" applyBorder="1" applyAlignment="1">
      <alignment wrapText="1"/>
    </xf>
    <xf numFmtId="0" fontId="59" fillId="56" borderId="81" xfId="0" applyFont="1" applyFill="1" applyBorder="1" applyAlignment="1">
      <alignment horizontal="left" vertical="top"/>
    </xf>
    <xf numFmtId="167" fontId="59" fillId="56" borderId="81" xfId="0" applyNumberFormat="1" applyFont="1" applyFill="1" applyBorder="1" applyAlignment="1">
      <alignment horizontal="left" vertical="top"/>
    </xf>
    <xf numFmtId="167" fontId="59" fillId="56" borderId="81" xfId="4" applyNumberFormat="1" applyFont="1" applyFill="1" applyBorder="1"/>
    <xf numFmtId="167" fontId="59" fillId="56" borderId="81" xfId="4" applyNumberFormat="1" applyFont="1" applyFill="1" applyBorder="1" applyAlignment="1">
      <alignment vertical="top" wrapText="1"/>
    </xf>
    <xf numFmtId="0" fontId="59" fillId="0" borderId="80" xfId="0" applyFont="1" applyBorder="1" applyAlignment="1">
      <alignment horizontal="left" vertical="top"/>
    </xf>
    <xf numFmtId="167" fontId="59" fillId="0" borderId="80" xfId="0" applyNumberFormat="1" applyFont="1" applyFill="1" applyBorder="1" applyAlignment="1">
      <alignment horizontal="left" vertical="top"/>
    </xf>
    <xf numFmtId="167" fontId="59" fillId="0" borderId="80" xfId="4" applyNumberFormat="1" applyFont="1" applyBorder="1"/>
    <xf numFmtId="167" fontId="59" fillId="0" borderId="80" xfId="4" applyNumberFormat="1" applyFont="1" applyFill="1" applyBorder="1" applyAlignment="1">
      <alignment vertical="top" wrapText="1"/>
    </xf>
    <xf numFmtId="0" fontId="6" fillId="0" borderId="0" xfId="36125"/>
    <xf numFmtId="0" fontId="6" fillId="0" borderId="0" xfId="36125" applyAlignment="1">
      <alignment horizontal="center" vertical="center"/>
    </xf>
    <xf numFmtId="179" fontId="6" fillId="0" borderId="0" xfId="36125" applyNumberFormat="1"/>
    <xf numFmtId="0" fontId="125" fillId="0" borderId="0" xfId="36125" applyFont="1" applyAlignment="1">
      <alignment horizontal="right"/>
    </xf>
    <xf numFmtId="0" fontId="6" fillId="0" borderId="0" xfId="36125" applyAlignment="1">
      <alignment horizontal="right"/>
    </xf>
    <xf numFmtId="179" fontId="6" fillId="0" borderId="0" xfId="36125" applyNumberFormat="1" applyAlignment="1">
      <alignment horizontal="right"/>
    </xf>
    <xf numFmtId="0" fontId="6" fillId="0" borderId="0" xfId="36125" applyAlignment="1">
      <alignment horizontal="center"/>
    </xf>
    <xf numFmtId="0" fontId="6" fillId="0" borderId="49" xfId="36125" applyBorder="1"/>
    <xf numFmtId="0" fontId="6" fillId="0" borderId="50" xfId="36125" applyBorder="1" applyAlignment="1">
      <alignment horizontal="center"/>
    </xf>
    <xf numFmtId="0" fontId="6" fillId="0" borderId="51" xfId="36125" applyBorder="1" applyAlignment="1">
      <alignment horizontal="center" vertical="center"/>
    </xf>
    <xf numFmtId="0" fontId="6" fillId="0" borderId="46" xfId="36125" applyBorder="1" applyAlignment="1">
      <alignment horizontal="center" vertical="center"/>
    </xf>
    <xf numFmtId="0" fontId="6" fillId="0" borderId="51" xfId="36125" applyBorder="1" applyAlignment="1">
      <alignment horizontal="center"/>
    </xf>
    <xf numFmtId="0" fontId="51" fillId="0" borderId="50" xfId="36125" applyFont="1" applyBorder="1" applyAlignment="1">
      <alignment horizontal="center"/>
    </xf>
    <xf numFmtId="0" fontId="51" fillId="0" borderId="52" xfId="36125" applyFont="1" applyBorder="1" applyAlignment="1">
      <alignment horizontal="center"/>
    </xf>
    <xf numFmtId="9" fontId="51" fillId="0" borderId="52" xfId="36126" applyFont="1" applyBorder="1" applyAlignment="1">
      <alignment horizontal="center"/>
    </xf>
    <xf numFmtId="0" fontId="6" fillId="0" borderId="55" xfId="36125" applyBorder="1" applyAlignment="1">
      <alignment horizontal="center" vertical="center" wrapText="1"/>
    </xf>
    <xf numFmtId="0" fontId="6" fillId="0" borderId="56" xfId="36125" applyBorder="1" applyAlignment="1">
      <alignment horizontal="center" vertical="center"/>
    </xf>
    <xf numFmtId="0" fontId="6" fillId="0" borderId="56" xfId="36125" applyBorder="1" applyAlignment="1">
      <alignment horizontal="center"/>
    </xf>
    <xf numFmtId="2" fontId="6" fillId="0" borderId="55" xfId="36125" applyNumberFormat="1" applyFill="1" applyBorder="1" applyAlignment="1">
      <alignment horizontal="center"/>
    </xf>
    <xf numFmtId="179" fontId="6" fillId="0" borderId="55" xfId="36125" applyNumberFormat="1" applyFill="1" applyBorder="1" applyAlignment="1">
      <alignment horizontal="center"/>
    </xf>
    <xf numFmtId="1" fontId="6" fillId="0" borderId="55" xfId="36125" applyNumberFormat="1" applyFill="1" applyBorder="1" applyAlignment="1">
      <alignment horizontal="center"/>
    </xf>
    <xf numFmtId="0" fontId="6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 wrapText="1"/>
    </xf>
    <xf numFmtId="0" fontId="6" fillId="0" borderId="47" xfId="36125" applyBorder="1" applyAlignment="1">
      <alignment horizontal="center" vertical="center"/>
    </xf>
    <xf numFmtId="0" fontId="6" fillId="0" borderId="47" xfId="36125" applyBorder="1" applyAlignment="1">
      <alignment horizontal="center"/>
    </xf>
    <xf numFmtId="2" fontId="6" fillId="0" borderId="13" xfId="36125" applyNumberFormat="1" applyFill="1" applyBorder="1" applyAlignment="1">
      <alignment horizontal="center"/>
    </xf>
    <xf numFmtId="179" fontId="6" fillId="0" borderId="13" xfId="36125" applyNumberFormat="1" applyFill="1" applyBorder="1" applyAlignment="1">
      <alignment horizontal="center"/>
    </xf>
    <xf numFmtId="1" fontId="6" fillId="0" borderId="13" xfId="36125" applyNumberFormat="1" applyFill="1" applyBorder="1" applyAlignment="1">
      <alignment horizontal="center"/>
    </xf>
    <xf numFmtId="0" fontId="6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6" fillId="0" borderId="60" xfId="36125" applyBorder="1" applyAlignment="1">
      <alignment horizontal="center" vertical="center" wrapText="1"/>
    </xf>
    <xf numFmtId="0" fontId="6" fillId="0" borderId="61" xfId="36125" applyBorder="1" applyAlignment="1">
      <alignment vertical="center"/>
    </xf>
    <xf numFmtId="0" fontId="6" fillId="0" borderId="50" xfId="36125" applyBorder="1" applyAlignment="1">
      <alignment horizontal="center" vertical="center" wrapText="1"/>
    </xf>
    <xf numFmtId="0" fontId="6" fillId="0" borderId="63" xfId="36125" applyBorder="1" applyAlignment="1">
      <alignment horizontal="center" vertical="center" wrapText="1"/>
    </xf>
    <xf numFmtId="0" fontId="6" fillId="0" borderId="64" xfId="36125" applyBorder="1" applyAlignment="1">
      <alignment horizontal="center" vertical="center"/>
    </xf>
    <xf numFmtId="0" fontId="6" fillId="0" borderId="64" xfId="36125" applyBorder="1" applyAlignment="1">
      <alignment vertical="center"/>
    </xf>
    <xf numFmtId="2" fontId="6" fillId="0" borderId="63" xfId="36125" applyNumberFormat="1" applyFill="1" applyBorder="1" applyAlignment="1">
      <alignment horizontal="center"/>
    </xf>
    <xf numFmtId="179" fontId="6" fillId="0" borderId="63" xfId="36125" applyNumberFormat="1" applyFill="1" applyBorder="1" applyAlignment="1">
      <alignment horizontal="center"/>
    </xf>
    <xf numFmtId="0" fontId="6" fillId="0" borderId="63" xfId="36125" applyFill="1" applyBorder="1" applyAlignment="1">
      <alignment horizontal="center"/>
    </xf>
    <xf numFmtId="1" fontId="6" fillId="0" borderId="63" xfId="36125" applyNumberFormat="1" applyFill="1" applyBorder="1" applyAlignment="1">
      <alignment horizontal="center"/>
    </xf>
    <xf numFmtId="0" fontId="6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6" fillId="0" borderId="13" xfId="36125" applyBorder="1" applyAlignment="1">
      <alignment horizontal="center" vertical="center"/>
    </xf>
    <xf numFmtId="0" fontId="6" fillId="0" borderId="63" xfId="36125" applyBorder="1" applyAlignment="1">
      <alignment horizontal="center" vertical="center"/>
    </xf>
    <xf numFmtId="0" fontId="6" fillId="0" borderId="64" xfId="36125" applyBorder="1" applyAlignment="1">
      <alignment horizontal="center"/>
    </xf>
    <xf numFmtId="0" fontId="6" fillId="0" borderId="56" xfId="36125" applyBorder="1" applyAlignment="1">
      <alignment horizontal="center" vertical="center" wrapText="1"/>
    </xf>
    <xf numFmtId="0" fontId="6" fillId="0" borderId="55" xfId="36125" applyFill="1" applyBorder="1" applyAlignment="1">
      <alignment horizontal="center"/>
    </xf>
    <xf numFmtId="0" fontId="6" fillId="0" borderId="47" xfId="36125" applyBorder="1" applyAlignment="1">
      <alignment horizontal="center" vertical="center" wrapText="1"/>
    </xf>
    <xf numFmtId="0" fontId="6" fillId="0" borderId="13" xfId="36125" applyFill="1" applyBorder="1" applyAlignment="1">
      <alignment horizontal="center"/>
    </xf>
    <xf numFmtId="0" fontId="6" fillId="0" borderId="64" xfId="36125" applyBorder="1" applyAlignment="1">
      <alignment horizontal="center" vertical="center" wrapText="1"/>
    </xf>
    <xf numFmtId="0" fontId="6" fillId="0" borderId="49" xfId="36125" applyBorder="1" applyAlignment="1">
      <alignment horizontal="center" vertical="center" wrapText="1"/>
    </xf>
    <xf numFmtId="0" fontId="6" fillId="0" borderId="51" xfId="36125" applyBorder="1" applyAlignment="1">
      <alignment horizontal="center" vertical="center" wrapText="1"/>
    </xf>
    <xf numFmtId="2" fontId="6" fillId="0" borderId="50" xfId="36125" applyNumberFormat="1" applyFill="1" applyBorder="1" applyAlignment="1">
      <alignment horizontal="center" vertical="center"/>
    </xf>
    <xf numFmtId="179" fontId="6" fillId="0" borderId="50" xfId="36125" applyNumberFormat="1" applyFill="1" applyBorder="1" applyAlignment="1">
      <alignment horizontal="center" vertical="center"/>
    </xf>
    <xf numFmtId="0" fontId="6" fillId="0" borderId="50" xfId="36125" applyFill="1" applyBorder="1" applyAlignment="1">
      <alignment horizontal="center" vertical="center"/>
    </xf>
    <xf numFmtId="1" fontId="6" fillId="0" borderId="50" xfId="36125" applyNumberFormat="1" applyFill="1" applyBorder="1" applyAlignment="1">
      <alignment horizontal="center" vertical="center"/>
    </xf>
    <xf numFmtId="0" fontId="6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6" fillId="0" borderId="46" xfId="36125" applyBorder="1" applyAlignment="1">
      <alignment horizontal="left" vertical="center" wrapText="1"/>
    </xf>
    <xf numFmtId="0" fontId="6" fillId="0" borderId="25" xfId="36125" applyBorder="1" applyAlignment="1">
      <alignment horizontal="center" vertical="center" wrapText="1"/>
    </xf>
    <xf numFmtId="0" fontId="6" fillId="0" borderId="70" xfId="36125" applyBorder="1" applyAlignment="1">
      <alignment horizontal="center" vertical="center" wrapText="1"/>
    </xf>
    <xf numFmtId="0" fontId="6" fillId="0" borderId="71" xfId="36125" applyBorder="1" applyAlignment="1">
      <alignment horizontal="center" vertical="center" wrapText="1"/>
    </xf>
    <xf numFmtId="0" fontId="6" fillId="0" borderId="71" xfId="36125" applyBorder="1" applyAlignment="1">
      <alignment horizontal="center"/>
    </xf>
    <xf numFmtId="2" fontId="6" fillId="0" borderId="70" xfId="36125" applyNumberFormat="1" applyFill="1" applyBorder="1" applyAlignment="1">
      <alignment horizontal="center"/>
    </xf>
    <xf numFmtId="179" fontId="6" fillId="0" borderId="70" xfId="36125" applyNumberFormat="1" applyFill="1" applyBorder="1" applyAlignment="1">
      <alignment horizontal="center"/>
    </xf>
    <xf numFmtId="0" fontId="6" fillId="0" borderId="70" xfId="36125" applyFill="1" applyBorder="1" applyAlignment="1">
      <alignment horizontal="center"/>
    </xf>
    <xf numFmtId="1" fontId="6" fillId="0" borderId="70" xfId="36125" applyNumberFormat="1" applyFill="1" applyBorder="1" applyAlignment="1">
      <alignment horizontal="center"/>
    </xf>
    <xf numFmtId="0" fontId="6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6" fillId="0" borderId="54" xfId="36125" applyBorder="1" applyAlignment="1">
      <alignment horizontal="center" vertical="center" wrapText="1"/>
    </xf>
    <xf numFmtId="2" fontId="6" fillId="0" borderId="55" xfId="36125" applyNumberFormat="1" applyBorder="1" applyAlignment="1">
      <alignment horizontal="center"/>
    </xf>
    <xf numFmtId="0" fontId="6" fillId="0" borderId="62" xfId="36125" applyBorder="1" applyAlignment="1">
      <alignment horizontal="center" vertical="center" wrapText="1"/>
    </xf>
    <xf numFmtId="2" fontId="6" fillId="0" borderId="74" xfId="36125" applyNumberFormat="1" applyFill="1" applyBorder="1" applyAlignment="1">
      <alignment horizontal="center"/>
    </xf>
    <xf numFmtId="2" fontId="6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6" fillId="0" borderId="74" xfId="36125" applyBorder="1"/>
    <xf numFmtId="2" fontId="59" fillId="108" borderId="24" xfId="4" applyNumberFormat="1" applyFont="1" applyFill="1" applyBorder="1"/>
    <xf numFmtId="2" fontId="59" fillId="109" borderId="24" xfId="4" applyNumberFormat="1" applyFont="1" applyFill="1" applyBorder="1"/>
    <xf numFmtId="2" fontId="59" fillId="107" borderId="24" xfId="4" applyNumberFormat="1" applyFont="1" applyFill="1" applyBorder="1"/>
    <xf numFmtId="167" fontId="59" fillId="58" borderId="24" xfId="4" applyNumberFormat="1" applyFont="1" applyFill="1" applyBorder="1"/>
    <xf numFmtId="0" fontId="59" fillId="58" borderId="24" xfId="4" applyFont="1" applyFill="1" applyBorder="1"/>
    <xf numFmtId="2" fontId="59" fillId="58" borderId="24" xfId="4" applyNumberFormat="1" applyFont="1" applyFill="1" applyBorder="1"/>
    <xf numFmtId="2" fontId="59" fillId="58" borderId="24" xfId="3" applyNumberFormat="1" applyFont="1" applyFill="1" applyBorder="1"/>
    <xf numFmtId="2" fontId="122" fillId="58" borderId="24" xfId="3" applyNumberFormat="1" applyFont="1" applyFill="1" applyBorder="1"/>
    <xf numFmtId="1" fontId="59" fillId="58" borderId="24" xfId="3" applyNumberFormat="1" applyFont="1" applyFill="1" applyBorder="1"/>
    <xf numFmtId="181" fontId="59" fillId="58" borderId="24" xfId="3" applyNumberFormat="1" applyFont="1" applyFill="1" applyBorder="1"/>
    <xf numFmtId="167" fontId="59" fillId="110" borderId="24" xfId="4" applyNumberFormat="1" applyFont="1" applyFill="1" applyBorder="1"/>
    <xf numFmtId="0" fontId="59" fillId="110" borderId="24" xfId="4" applyFont="1" applyFill="1" applyBorder="1"/>
    <xf numFmtId="2" fontId="59" fillId="110" borderId="24" xfId="4" applyNumberFormat="1" applyFont="1" applyFill="1" applyBorder="1"/>
    <xf numFmtId="2" fontId="59" fillId="110" borderId="24" xfId="3" applyNumberFormat="1" applyFont="1" applyFill="1" applyBorder="1"/>
    <xf numFmtId="2" fontId="122" fillId="110" borderId="24" xfId="3" applyNumberFormat="1" applyFont="1" applyFill="1" applyBorder="1"/>
    <xf numFmtId="1" fontId="59" fillId="110" borderId="24" xfId="3" applyNumberFormat="1" applyFont="1" applyFill="1" applyBorder="1"/>
    <xf numFmtId="181" fontId="59" fillId="110" borderId="24" xfId="3" applyNumberFormat="1" applyFont="1" applyFill="1" applyBorder="1"/>
    <xf numFmtId="9" fontId="0" fillId="0" borderId="0" xfId="36094" applyFont="1"/>
    <xf numFmtId="9" fontId="5" fillId="0" borderId="52" xfId="36126" applyFont="1" applyBorder="1" applyAlignment="1">
      <alignment horizontal="center"/>
    </xf>
    <xf numFmtId="9" fontId="5" fillId="0" borderId="52" xfId="36094" applyFont="1" applyBorder="1" applyAlignment="1">
      <alignment horizontal="center"/>
    </xf>
    <xf numFmtId="9" fontId="0" fillId="111" borderId="0" xfId="36094" applyFont="1" applyFill="1"/>
    <xf numFmtId="9" fontId="5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7" fillId="110" borderId="0" xfId="36127" applyFont="1" applyFill="1"/>
    <xf numFmtId="0" fontId="51" fillId="110" borderId="0" xfId="36127" applyFont="1" applyFill="1"/>
    <xf numFmtId="0" fontId="4" fillId="0" borderId="0" xfId="36127"/>
    <xf numFmtId="0" fontId="127" fillId="108" borderId="0" xfId="36127" applyFont="1" applyFill="1"/>
    <xf numFmtId="0" fontId="51" fillId="108" borderId="0" xfId="36127" applyFont="1" applyFill="1"/>
    <xf numFmtId="0" fontId="4" fillId="56" borderId="0" xfId="36127" applyFill="1"/>
    <xf numFmtId="180" fontId="59" fillId="0" borderId="0" xfId="0" applyNumberFormat="1" applyFont="1" applyAlignment="1">
      <alignment horizontal="left" vertical="top"/>
    </xf>
    <xf numFmtId="0" fontId="59" fillId="0" borderId="77" xfId="0" applyFont="1" applyBorder="1" applyAlignment="1">
      <alignment horizontal="center" vertical="top"/>
    </xf>
    <xf numFmtId="167" fontId="64" fillId="29" borderId="10" xfId="36128" applyNumberFormat="1" applyFont="1" applyBorder="1" applyAlignment="1">
      <alignment horizontal="left" vertical="top" wrapText="1"/>
    </xf>
    <xf numFmtId="167" fontId="63" fillId="29" borderId="11" xfId="36128" applyNumberFormat="1" applyFont="1" applyBorder="1" applyAlignment="1">
      <alignment horizontal="left" vertical="top" wrapText="1"/>
    </xf>
    <xf numFmtId="167" fontId="63" fillId="29" borderId="10" xfId="36128" applyNumberFormat="1" applyFont="1" applyBorder="1" applyAlignment="1">
      <alignment horizontal="left" vertical="top" wrapText="1"/>
    </xf>
    <xf numFmtId="1" fontId="59" fillId="0" borderId="0" xfId="0" applyNumberFormat="1" applyFont="1" applyAlignment="1">
      <alignment horizontal="left" vertical="top"/>
    </xf>
    <xf numFmtId="0" fontId="64" fillId="29" borderId="10" xfId="36128" applyFont="1" applyBorder="1" applyAlignment="1">
      <alignment horizontal="center" vertical="center" wrapText="1"/>
    </xf>
    <xf numFmtId="179" fontId="126" fillId="29" borderId="10" xfId="36128" applyNumberFormat="1" applyFont="1" applyBorder="1" applyAlignment="1">
      <alignment horizontal="center" vertical="center" wrapText="1"/>
    </xf>
    <xf numFmtId="179" fontId="64" fillId="29" borderId="10" xfId="36128" applyNumberFormat="1" applyFont="1" applyBorder="1" applyAlignment="1">
      <alignment horizontal="center" vertical="center" wrapText="1"/>
    </xf>
    <xf numFmtId="166" fontId="59" fillId="108" borderId="24" xfId="16923" applyNumberFormat="1" applyFont="1" applyFill="1" applyBorder="1"/>
    <xf numFmtId="179" fontId="59" fillId="108" borderId="24" xfId="3" applyNumberFormat="1" applyFont="1" applyFill="1" applyBorder="1"/>
    <xf numFmtId="1" fontId="122" fillId="108" borderId="24" xfId="3" applyNumberFormat="1" applyFont="1" applyFill="1" applyBorder="1"/>
    <xf numFmtId="165" fontId="59" fillId="0" borderId="0" xfId="2307" applyFont="1" applyAlignment="1">
      <alignment horizontal="left" vertical="top"/>
    </xf>
    <xf numFmtId="9" fontId="59" fillId="0" borderId="0" xfId="16923" applyFont="1" applyAlignment="1">
      <alignment horizontal="left" vertical="top"/>
    </xf>
    <xf numFmtId="0" fontId="3" fillId="0" borderId="0" xfId="36129"/>
    <xf numFmtId="166" fontId="59" fillId="111" borderId="24" xfId="16923" applyNumberFormat="1" applyFont="1" applyFill="1" applyBorder="1"/>
    <xf numFmtId="11" fontId="3" fillId="0" borderId="0" xfId="36129" applyNumberFormat="1"/>
    <xf numFmtId="9" fontId="59" fillId="108" borderId="24" xfId="16923" applyFont="1" applyFill="1" applyBorder="1"/>
    <xf numFmtId="0" fontId="3" fillId="0" borderId="0" xfId="36130"/>
    <xf numFmtId="187" fontId="122" fillId="109" borderId="24" xfId="3" applyNumberFormat="1" applyFont="1" applyFill="1" applyBorder="1"/>
    <xf numFmtId="166" fontId="59" fillId="109" borderId="24" xfId="16923" applyNumberFormat="1" applyFont="1" applyFill="1" applyBorder="1"/>
    <xf numFmtId="179" fontId="59" fillId="109" borderId="24" xfId="3" applyNumberFormat="1" applyFont="1" applyFill="1" applyBorder="1"/>
    <xf numFmtId="1" fontId="122" fillId="109" borderId="24" xfId="3" applyNumberFormat="1" applyFont="1" applyFill="1" applyBorder="1"/>
    <xf numFmtId="2" fontId="59" fillId="111" borderId="24" xfId="3" applyNumberFormat="1" applyFont="1" applyFill="1" applyBorder="1"/>
    <xf numFmtId="166" fontId="59" fillId="57" borderId="24" xfId="16923" applyNumberFormat="1" applyFont="1" applyFill="1" applyBorder="1"/>
    <xf numFmtId="166" fontId="59" fillId="107" borderId="24" xfId="16923" applyNumberFormat="1" applyFont="1" applyFill="1" applyBorder="1"/>
    <xf numFmtId="179" fontId="59" fillId="107" borderId="24" xfId="3" applyNumberFormat="1" applyFont="1" applyFill="1" applyBorder="1"/>
    <xf numFmtId="1" fontId="122" fillId="107" borderId="24" xfId="3" applyNumberFormat="1" applyFont="1" applyFill="1" applyBorder="1"/>
    <xf numFmtId="11" fontId="3" fillId="0" borderId="0" xfId="36130" applyNumberFormat="1"/>
    <xf numFmtId="11" fontId="59" fillId="0" borderId="0" xfId="0" applyNumberFormat="1" applyFont="1" applyAlignment="1">
      <alignment horizontal="left" vertical="top"/>
    </xf>
    <xf numFmtId="10" fontId="59" fillId="107" borderId="24" xfId="16923" applyNumberFormat="1" applyFont="1" applyFill="1" applyBorder="1"/>
    <xf numFmtId="166" fontId="59" fillId="58" borderId="24" xfId="16923" applyNumberFormat="1" applyFont="1" applyFill="1" applyBorder="1"/>
    <xf numFmtId="179" fontId="59" fillId="58" borderId="24" xfId="3" applyNumberFormat="1" applyFont="1" applyFill="1" applyBorder="1"/>
    <xf numFmtId="1" fontId="122" fillId="58" borderId="24" xfId="3" applyNumberFormat="1" applyFont="1" applyFill="1" applyBorder="1"/>
    <xf numFmtId="166" fontId="59" fillId="110" borderId="24" xfId="16923" applyNumberFormat="1" applyFont="1" applyFill="1" applyBorder="1"/>
    <xf numFmtId="179" fontId="59" fillId="110" borderId="24" xfId="3" applyNumberFormat="1" applyFont="1" applyFill="1" applyBorder="1"/>
    <xf numFmtId="1" fontId="122" fillId="110" borderId="24" xfId="3" applyNumberFormat="1" applyFont="1" applyFill="1" applyBorder="1"/>
    <xf numFmtId="9" fontId="59" fillId="57" borderId="24" xfId="16923" applyFont="1" applyFill="1" applyBorder="1"/>
    <xf numFmtId="0" fontId="128" fillId="0" borderId="0" xfId="0" applyFont="1" applyAlignment="1">
      <alignment horizontal="left" vertical="top"/>
    </xf>
    <xf numFmtId="0" fontId="60" fillId="112" borderId="10" xfId="16948" applyFont="1" applyFill="1" applyBorder="1" applyAlignment="1">
      <alignment horizontal="left" vertical="top"/>
    </xf>
    <xf numFmtId="0" fontId="60" fillId="112" borderId="10" xfId="16948" applyFont="1" applyFill="1" applyBorder="1" applyAlignment="1">
      <alignment horizontal="left" vertical="top" wrapText="1"/>
    </xf>
    <xf numFmtId="167" fontId="59" fillId="112" borderId="24" xfId="36131" applyNumberFormat="1" applyFont="1" applyFill="1" applyBorder="1"/>
    <xf numFmtId="0" fontId="59" fillId="112" borderId="24" xfId="36131" applyFont="1" applyFill="1" applyBorder="1"/>
    <xf numFmtId="2" fontId="59" fillId="112" borderId="24" xfId="3" applyNumberFormat="1" applyFont="1" applyFill="1" applyBorder="1"/>
    <xf numFmtId="0" fontId="59" fillId="112" borderId="24" xfId="3" applyFont="1" applyFill="1" applyBorder="1"/>
    <xf numFmtId="179" fontId="59" fillId="112" borderId="24" xfId="3" applyNumberFormat="1" applyFont="1" applyFill="1" applyBorder="1"/>
    <xf numFmtId="0" fontId="59" fillId="112" borderId="0" xfId="36132" applyFont="1" applyFill="1" applyAlignment="1">
      <alignment horizontal="left" vertical="top"/>
    </xf>
    <xf numFmtId="2" fontId="1" fillId="0" borderId="0" xfId="36167" applyNumberFormat="1"/>
    <xf numFmtId="2" fontId="1" fillId="56" borderId="0" xfId="36167" applyNumberFormat="1" applyFill="1"/>
    <xf numFmtId="0" fontId="51" fillId="110" borderId="0" xfId="36167" applyFont="1" applyFill="1"/>
    <xf numFmtId="0" fontId="51" fillId="108" borderId="0" xfId="36167" applyFont="1" applyFill="1"/>
    <xf numFmtId="2" fontId="127" fillId="108" borderId="0" xfId="36167" applyNumberFormat="1" applyFont="1" applyFill="1"/>
    <xf numFmtId="2" fontId="51" fillId="108" borderId="0" xfId="36167" applyNumberFormat="1" applyFont="1" applyFill="1"/>
    <xf numFmtId="0" fontId="60" fillId="24" borderId="0" xfId="6" applyFont="1" applyFill="1" applyBorder="1" applyAlignment="1">
      <alignment horizontal="left" vertical="top" wrapText="1"/>
    </xf>
    <xf numFmtId="179" fontId="64" fillId="29" borderId="0" xfId="1" applyNumberFormat="1" applyFont="1" applyBorder="1" applyAlignment="1">
      <alignment horizontal="left" vertical="top" wrapText="1"/>
    </xf>
    <xf numFmtId="0" fontId="60" fillId="112" borderId="0" xfId="16948" applyFont="1" applyFill="1" applyBorder="1" applyAlignment="1">
      <alignment horizontal="left" vertical="top" wrapText="1"/>
    </xf>
    <xf numFmtId="2" fontId="0" fillId="0" borderId="0" xfId="0" applyNumberFormat="1"/>
    <xf numFmtId="0" fontId="6" fillId="0" borderId="41" xfId="36125" applyBorder="1" applyAlignment="1">
      <alignment horizontal="left" vertical="center"/>
    </xf>
    <xf numFmtId="0" fontId="6" fillId="0" borderId="43" xfId="36125" applyBorder="1" applyAlignment="1">
      <alignment horizontal="left" vertical="center"/>
    </xf>
    <xf numFmtId="0" fontId="6" fillId="0" borderId="45" xfId="36125" applyBorder="1" applyAlignment="1">
      <alignment horizontal="left" vertical="center"/>
    </xf>
    <xf numFmtId="0" fontId="6" fillId="0" borderId="25" xfId="36125" applyBorder="1" applyAlignment="1">
      <alignment horizontal="center" vertical="center" wrapText="1"/>
    </xf>
    <xf numFmtId="0" fontId="6" fillId="0" borderId="73" xfId="36125" applyBorder="1" applyAlignment="1">
      <alignment horizontal="center" vertical="center" wrapText="1"/>
    </xf>
    <xf numFmtId="0" fontId="6" fillId="0" borderId="67" xfId="36125" applyBorder="1" applyAlignment="1">
      <alignment horizontal="center" vertical="center" wrapText="1"/>
    </xf>
    <xf numFmtId="0" fontId="6" fillId="0" borderId="75" xfId="36125" applyBorder="1" applyAlignment="1">
      <alignment horizontal="center" vertical="center" wrapText="1"/>
    </xf>
    <xf numFmtId="0" fontId="6" fillId="0" borderId="41" xfId="36125" applyBorder="1" applyAlignment="1">
      <alignment horizontal="left" vertical="center" wrapText="1"/>
    </xf>
    <xf numFmtId="0" fontId="6" fillId="0" borderId="45" xfId="36125" applyBorder="1" applyAlignment="1">
      <alignment horizontal="left" vertical="center" wrapText="1"/>
    </xf>
    <xf numFmtId="0" fontId="6" fillId="0" borderId="43" xfId="36125" applyBorder="1" applyAlignment="1">
      <alignment horizontal="left" vertical="center" wrapText="1"/>
    </xf>
    <xf numFmtId="0" fontId="6" fillId="0" borderId="82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59" fillId="0" borderId="77" xfId="0" applyFont="1" applyBorder="1" applyAlignment="1">
      <alignment horizontal="center" vertical="top"/>
    </xf>
  </cellXfs>
  <cellStyles count="36188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" xfId="36146" builtinId="30" customBuiltin="1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" xfId="36150" builtinId="34" customBuiltin="1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17" xfId="36183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" xfId="36157" builtinId="42" customBuiltin="1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28"/>
    <cellStyle name="20% - Accent5 25" xfId="36175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" xfId="36164" builtinId="50" customBuiltin="1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" xfId="36147" builtinId="31" customBuiltin="1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" xfId="36151" builtinId="35" customBuiltin="1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" xfId="36154" builtinId="39" customBuiltin="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" xfId="36158" builtinId="43" customBuiltin="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" xfId="36161" builtinId="47" customBuiltin="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" xfId="36165" builtinId="51" customBuiltin="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" xfId="36148" builtinId="32" customBuiltin="1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" xfId="36152" builtinId="36" customBuiltin="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" xfId="36155" builtinId="40" customBuiltin="1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" xfId="36159" builtinId="44" customBuiltin="1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" xfId="36162" builtinId="48" customBuiltin="1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" xfId="36166" builtinId="52" customBuiltin="1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" xfId="36145" builtinId="29" customBuiltin="1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" xfId="36149" builtinId="33" customBuiltin="1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" xfId="36153" builtinId="37" customBuiltin="1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" xfId="36156" builtinId="41" customBuiltin="1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" xfId="36160" builtinId="45" customBuiltin="1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" xfId="36163" builtinId="49" customBuiltin="1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" xfId="36137" builtinId="27" customBuiltin="1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" xfId="36140" builtinId="22" customBuiltin="1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5"/>
    <cellStyle name="Check Cell" xfId="36142" builtinId="23" customBuiltin="1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6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6"/>
    <cellStyle name="Comma 19" xfId="36107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11" xfId="36186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7"/>
    <cellStyle name="Comma 2 33" xfId="36100"/>
    <cellStyle name="Comma 2 34" xfId="36103"/>
    <cellStyle name="Comma 2 35" xfId="36172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20" xfId="36171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8"/>
    <cellStyle name="Comma 3 23" xfId="36101"/>
    <cellStyle name="Comma 3 24" xfId="36104"/>
    <cellStyle name="Comma 3 25" xfId="36176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8"/>
    <cellStyle name="Comma2" xfId="36109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0"/>
    <cellStyle name="Currency2" xfId="36111"/>
    <cellStyle name="CustomizationCells" xfId="4198"/>
    <cellStyle name="Date" xfId="36112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" xfId="36144" builtinId="53" customBuiltin="1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3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" xfId="36136" builtinId="26" customBuiltin="1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4"/>
    <cellStyle name="Gut" xfId="3975"/>
    <cellStyle name="Heading" xfId="36115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6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3 7" xfId="36177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7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3 7" xfId="36178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" xfId="36134" builtinId="18" customBuiltin="1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" xfId="36135" builtinId="19" customBuiltin="1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2 4" xfId="36184"/>
    <cellStyle name="Hyperlink 3" xfId="43"/>
    <cellStyle name="Hyperlink 3 2" xfId="17171"/>
    <cellStyle name="Hyperlink 3 3" xfId="36179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" xfId="36138" builtinId="20" customBuiltin="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" xfId="36141" builtinId="24" customBuiltin="1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8"/>
    <cellStyle name="Neutral" xfId="3" builtinId="28" customBuiltin="1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1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19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12" xfId="36185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5"/>
    <cellStyle name="Normal 26" xfId="36099"/>
    <cellStyle name="Normal 27" xfId="36102"/>
    <cellStyle name="Normal 28" xfId="36125"/>
    <cellStyle name="Normal 29" xfId="36127"/>
    <cellStyle name="Normal 29 2" xfId="36129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15" xfId="36173"/>
    <cellStyle name="Normal 3 2" xfId="37"/>
    <cellStyle name="Normal 3 2 2" xfId="3019"/>
    <cellStyle name="Normal 3 2 3" xfId="69"/>
    <cellStyle name="Normal 3 2 4" xfId="36181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30"/>
    <cellStyle name="Normal 31" xfId="36167"/>
    <cellStyle name="Normal 32" xfId="36132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41" xfId="36169"/>
    <cellStyle name="Normal 42" xfId="36168"/>
    <cellStyle name="Normal 43" xfId="36170"/>
    <cellStyle name="Normal 5" xfId="19075"/>
    <cellStyle name="Normal 5 10" xfId="75"/>
    <cellStyle name="Normal 5 11" xfId="4345"/>
    <cellStyle name="Normal 5 12" xfId="36187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27" xfId="36182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" xfId="36139" builtinId="21" customBuiltin="1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6"/>
    <cellStyle name="Percent 21" xfId="36174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0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1"/>
    <cellStyle name="Table Heading" xfId="36122"/>
    <cellStyle name="Texte explicatif" xfId="7569"/>
    <cellStyle name="Texte explicatif 2" xfId="18184"/>
    <cellStyle name="Title" xfId="36133" builtinId="15" customBuiltin="1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3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3 8" xfId="36180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" xfId="36143" builtinId="11" customBuiltin="1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4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K18">
            <v>0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/>
      <sheetData sheetId="2"/>
      <sheetData sheetId="3"/>
      <sheetData sheetId="4">
        <row r="2">
          <cell r="D2" t="str">
            <v>2018 Data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80"/>
    <col min="2" max="2" width="24.28515625" style="180" customWidth="1"/>
    <col min="3" max="3" width="19.7109375" style="180" customWidth="1"/>
    <col min="4" max="5" width="17.5703125" style="181" customWidth="1"/>
    <col min="6" max="6" width="27.28515625" style="181" customWidth="1"/>
    <col min="7" max="7" width="17.7109375" style="180" customWidth="1"/>
    <col min="8" max="8" width="15.28515625" style="180" customWidth="1"/>
    <col min="9" max="9" width="11.42578125" style="180" customWidth="1"/>
    <col min="10" max="10" width="10.85546875" style="180" customWidth="1"/>
    <col min="11" max="11" width="9.140625" style="180"/>
    <col min="12" max="12" width="12.7109375" style="180" customWidth="1"/>
    <col min="13" max="13" width="16.7109375" style="180" customWidth="1"/>
    <col min="14" max="14" width="11.42578125" style="180" customWidth="1"/>
    <col min="15" max="15" width="16.28515625" style="180" customWidth="1"/>
    <col min="16" max="16" width="17.85546875" style="180" customWidth="1"/>
    <col min="17" max="17" width="15.42578125" style="180" customWidth="1"/>
    <col min="18" max="18" width="18.28515625" style="180" bestFit="1" customWidth="1"/>
    <col min="19" max="19" width="13.140625" style="180" customWidth="1"/>
    <col min="20" max="20" width="25.85546875" style="180" customWidth="1"/>
    <col min="21" max="16384" width="9.140625" style="180"/>
  </cols>
  <sheetData>
    <row r="1" spans="2:18">
      <c r="J1" s="182">
        <v>1000</v>
      </c>
    </row>
    <row r="2" spans="2:18" ht="20.100000000000001" customHeight="1">
      <c r="H2" s="183" t="str">
        <f>'[7]VFEM Pivot'!D2</f>
        <v>2018 Data</v>
      </c>
      <c r="I2" s="184"/>
      <c r="J2" s="185"/>
      <c r="L2" s="184"/>
      <c r="M2" s="184"/>
      <c r="N2" s="184"/>
      <c r="O2" s="184"/>
      <c r="P2" s="184"/>
    </row>
    <row r="3" spans="2:18" ht="20.100000000000001" customHeight="1" thickBot="1">
      <c r="Q3" s="186"/>
    </row>
    <row r="4" spans="2:18" ht="20.100000000000001" customHeight="1" thickBot="1">
      <c r="B4" s="187" t="s">
        <v>189</v>
      </c>
      <c r="C4" s="188" t="s">
        <v>190</v>
      </c>
      <c r="D4" s="189" t="s">
        <v>191</v>
      </c>
      <c r="E4" s="189" t="s">
        <v>192</v>
      </c>
      <c r="F4" s="190" t="s">
        <v>193</v>
      </c>
      <c r="G4" s="191" t="s">
        <v>194</v>
      </c>
      <c r="H4" s="192" t="s">
        <v>103</v>
      </c>
      <c r="I4" s="192" t="s">
        <v>195</v>
      </c>
      <c r="J4" s="192" t="s">
        <v>196</v>
      </c>
      <c r="K4" s="192" t="s">
        <v>197</v>
      </c>
      <c r="L4" s="192" t="s">
        <v>198</v>
      </c>
      <c r="M4" s="192" t="s">
        <v>199</v>
      </c>
      <c r="N4" s="192" t="s">
        <v>200</v>
      </c>
      <c r="O4" s="192" t="s">
        <v>201</v>
      </c>
      <c r="P4" s="193" t="s">
        <v>202</v>
      </c>
      <c r="Q4" s="194" t="s">
        <v>277</v>
      </c>
      <c r="R4" s="194" t="s">
        <v>203</v>
      </c>
    </row>
    <row r="5" spans="2:18" ht="20.100000000000001" customHeight="1" thickBot="1">
      <c r="B5" s="350" t="s">
        <v>204</v>
      </c>
      <c r="C5" s="346" t="s">
        <v>205</v>
      </c>
      <c r="D5" s="195" t="s">
        <v>206</v>
      </c>
      <c r="E5" s="195" t="s">
        <v>207</v>
      </c>
      <c r="F5" s="196" t="s">
        <v>156</v>
      </c>
      <c r="G5" s="197" t="s">
        <v>208</v>
      </c>
      <c r="H5" s="198">
        <v>0.28964251024745374</v>
      </c>
      <c r="I5" s="199">
        <v>18.893708932999999</v>
      </c>
      <c r="J5" s="199">
        <v>28.939</v>
      </c>
      <c r="K5" s="200">
        <v>33857.253063779492</v>
      </c>
      <c r="L5" s="199">
        <v>2712.0790000000002</v>
      </c>
      <c r="M5" s="200">
        <v>10670.123224518902</v>
      </c>
      <c r="N5" s="200">
        <v>1383.6761070950265</v>
      </c>
      <c r="O5" s="198">
        <v>99.91011712992983</v>
      </c>
      <c r="P5" s="201"/>
      <c r="Q5" s="202">
        <f>ROUNDUP(1-R5,3)</f>
        <v>0.249</v>
      </c>
      <c r="R5" s="202">
        <v>0.75152757802726511</v>
      </c>
    </row>
    <row r="6" spans="2:18" ht="20.100000000000001" customHeight="1" thickBot="1">
      <c r="B6" s="351"/>
      <c r="C6" s="353"/>
      <c r="D6" s="195" t="s">
        <v>206</v>
      </c>
      <c r="E6" s="203" t="s">
        <v>207</v>
      </c>
      <c r="F6" s="204" t="s">
        <v>157</v>
      </c>
      <c r="G6" s="205" t="s">
        <v>208</v>
      </c>
      <c r="H6" s="206">
        <v>0.27145637995161387</v>
      </c>
      <c r="I6" s="207">
        <v>19.957648846000001</v>
      </c>
      <c r="J6" s="207">
        <v>3.36</v>
      </c>
      <c r="K6" s="208">
        <v>40982.1610282072</v>
      </c>
      <c r="L6" s="207">
        <v>250.92199999999997</v>
      </c>
      <c r="M6" s="208">
        <v>13389.630525063567</v>
      </c>
      <c r="N6" s="208">
        <v>1343.0866666666668</v>
      </c>
      <c r="O6" s="206">
        <v>12.376768861387102</v>
      </c>
      <c r="P6" s="209"/>
      <c r="Q6" s="210">
        <f t="shared" ref="Q6:Q33" si="0">ROUNDUP(1-R6,3)</f>
        <v>0.249</v>
      </c>
      <c r="R6" s="210">
        <v>0.75152757802726511</v>
      </c>
    </row>
    <row r="7" spans="2:18" ht="20.100000000000001" customHeight="1" thickBot="1">
      <c r="B7" s="351"/>
      <c r="C7" s="353"/>
      <c r="D7" s="195" t="s">
        <v>206</v>
      </c>
      <c r="E7" s="203" t="s">
        <v>209</v>
      </c>
      <c r="F7" s="204" t="s">
        <v>155</v>
      </c>
      <c r="G7" s="205" t="s">
        <v>208</v>
      </c>
      <c r="H7" s="206">
        <v>1.3967093772495132</v>
      </c>
      <c r="I7" s="207">
        <v>18.893708932999999</v>
      </c>
      <c r="J7" s="207">
        <v>4.0000000000000001E-3</v>
      </c>
      <c r="K7" s="208">
        <v>56434.273897483348</v>
      </c>
      <c r="L7" s="207">
        <v>0.47199999999999998</v>
      </c>
      <c r="M7" s="208">
        <v>6505.1711652542372</v>
      </c>
      <c r="N7" s="208">
        <v>1346.9862952194624</v>
      </c>
      <c r="O7" s="206">
        <v>5.7100722237726439E-4</v>
      </c>
      <c r="P7" s="209"/>
      <c r="Q7" s="210">
        <f t="shared" si="0"/>
        <v>0.249</v>
      </c>
      <c r="R7" s="210">
        <v>0.75152757802726511</v>
      </c>
    </row>
    <row r="8" spans="2:18" ht="20.100000000000001" customHeight="1" thickBot="1">
      <c r="B8" s="351"/>
      <c r="C8" s="353"/>
      <c r="D8" s="195" t="s">
        <v>206</v>
      </c>
      <c r="E8" s="203" t="s">
        <v>210</v>
      </c>
      <c r="F8" s="204" t="s">
        <v>155</v>
      </c>
      <c r="G8" s="205" t="s">
        <v>208</v>
      </c>
      <c r="H8" s="206">
        <v>1.3967093772495132</v>
      </c>
      <c r="I8" s="207">
        <v>13.893708932999999</v>
      </c>
      <c r="J8" s="207">
        <v>0</v>
      </c>
      <c r="K8" s="208">
        <v>25285.083214393977</v>
      </c>
      <c r="L8" s="207">
        <v>0</v>
      </c>
      <c r="M8" s="208">
        <v>6505.1711652542372</v>
      </c>
      <c r="N8" s="208">
        <v>1619.2717698146616</v>
      </c>
      <c r="O8" s="206">
        <v>1.6273318451576746E-3</v>
      </c>
      <c r="P8" s="209"/>
      <c r="Q8" s="210">
        <f t="shared" si="0"/>
        <v>0.249</v>
      </c>
      <c r="R8" s="210">
        <v>0.75152757802726511</v>
      </c>
    </row>
    <row r="9" spans="2:18" ht="20.100000000000001" customHeight="1" thickBot="1">
      <c r="B9" s="351"/>
      <c r="C9" s="353"/>
      <c r="D9" s="195" t="s">
        <v>206</v>
      </c>
      <c r="E9" s="203" t="s">
        <v>207</v>
      </c>
      <c r="F9" s="204" t="s">
        <v>133</v>
      </c>
      <c r="G9" s="205" t="s">
        <v>211</v>
      </c>
      <c r="H9" s="206">
        <v>0.30808183498335601</v>
      </c>
      <c r="I9" s="207">
        <v>18.893708932999999</v>
      </c>
      <c r="J9" s="207">
        <v>2.8000000000000001E-2</v>
      </c>
      <c r="K9" s="208">
        <v>36679.454380806776</v>
      </c>
      <c r="L9" s="207">
        <v>1.107</v>
      </c>
      <c r="M9" s="208">
        <v>24600.90009936766</v>
      </c>
      <c r="N9" s="208">
        <v>1383.6761070950265</v>
      </c>
      <c r="O9" s="206">
        <v>8.8395982228135134E-2</v>
      </c>
      <c r="P9" s="209"/>
      <c r="Q9" s="210">
        <f t="shared" si="0"/>
        <v>0.249</v>
      </c>
      <c r="R9" s="210">
        <v>0.75152757802726511</v>
      </c>
    </row>
    <row r="10" spans="2:18" ht="20.100000000000001" customHeight="1" thickBot="1">
      <c r="B10" s="351"/>
      <c r="C10" s="353"/>
      <c r="D10" s="195" t="s">
        <v>206</v>
      </c>
      <c r="E10" s="203" t="s">
        <v>212</v>
      </c>
      <c r="F10" s="204" t="s">
        <v>156</v>
      </c>
      <c r="G10" s="205" t="s">
        <v>211</v>
      </c>
      <c r="H10" s="206">
        <v>0.40881958394081114</v>
      </c>
      <c r="I10" s="207">
        <v>18.893708932999999</v>
      </c>
      <c r="J10" s="207">
        <v>0.27800000000000002</v>
      </c>
      <c r="K10" s="208">
        <v>38494.327307022897</v>
      </c>
      <c r="L10" s="207">
        <v>14.217000000000001</v>
      </c>
      <c r="M10" s="208">
        <v>19528.13987339101</v>
      </c>
      <c r="N10" s="208">
        <v>1133.0287043611559</v>
      </c>
      <c r="O10" s="206">
        <v>0.67910534496360009</v>
      </c>
      <c r="P10" s="209"/>
      <c r="Q10" s="210">
        <f t="shared" si="0"/>
        <v>0.249</v>
      </c>
      <c r="R10" s="210">
        <v>0.75152757802726511</v>
      </c>
    </row>
    <row r="11" spans="2:18" ht="20.100000000000001" customHeight="1" thickBot="1">
      <c r="B11" s="351"/>
      <c r="C11" s="353"/>
      <c r="D11" s="195" t="s">
        <v>206</v>
      </c>
      <c r="E11" s="211" t="s">
        <v>213</v>
      </c>
      <c r="F11" s="204" t="s">
        <v>156</v>
      </c>
      <c r="G11" s="212" t="s">
        <v>211</v>
      </c>
      <c r="H11" s="206">
        <v>0.54411803291671346</v>
      </c>
      <c r="I11" s="207">
        <v>18.893708932999999</v>
      </c>
      <c r="J11" s="207">
        <v>6.0000000000000001E-3</v>
      </c>
      <c r="K11" s="208">
        <v>51909.674036494784</v>
      </c>
      <c r="L11" s="207">
        <v>0.46600000000000003</v>
      </c>
      <c r="M11" s="208">
        <v>11339.240429184549</v>
      </c>
      <c r="N11" s="208">
        <v>1215.1329648648723</v>
      </c>
      <c r="O11" s="206">
        <v>9.7112863760000015E-3</v>
      </c>
      <c r="P11" s="210">
        <v>0.6</v>
      </c>
      <c r="Q11" s="210">
        <f t="shared" si="0"/>
        <v>0.249</v>
      </c>
      <c r="R11" s="210">
        <v>0.75152757802726511</v>
      </c>
    </row>
    <row r="12" spans="2:18" ht="20.100000000000001" customHeight="1" thickBot="1">
      <c r="B12" s="351"/>
      <c r="C12" s="349"/>
      <c r="D12" s="213" t="s">
        <v>206</v>
      </c>
      <c r="E12" s="214" t="s">
        <v>213</v>
      </c>
      <c r="F12" s="215" t="s">
        <v>155</v>
      </c>
      <c r="G12" s="216" t="s">
        <v>211</v>
      </c>
      <c r="H12" s="217">
        <v>0.99498002582370737</v>
      </c>
      <c r="I12" s="218">
        <v>18.893708932999999</v>
      </c>
      <c r="J12" s="218">
        <v>0</v>
      </c>
      <c r="K12" s="219"/>
      <c r="L12" s="218">
        <v>0</v>
      </c>
      <c r="M12" s="220"/>
      <c r="N12" s="220"/>
      <c r="O12" s="217">
        <v>0</v>
      </c>
      <c r="P12" s="221"/>
      <c r="Q12" s="222">
        <f t="shared" si="0"/>
        <v>0.249</v>
      </c>
      <c r="R12" s="222">
        <v>0.75152757802726511</v>
      </c>
    </row>
    <row r="13" spans="2:18" ht="20.100000000000001" customHeight="1">
      <c r="B13" s="351"/>
      <c r="C13" s="346" t="s">
        <v>214</v>
      </c>
      <c r="D13" s="195" t="s">
        <v>215</v>
      </c>
      <c r="E13" s="195" t="s">
        <v>207</v>
      </c>
      <c r="F13" s="196" t="s">
        <v>156</v>
      </c>
      <c r="G13" s="197" t="s">
        <v>208</v>
      </c>
      <c r="H13" s="198">
        <v>0.22158279949800538</v>
      </c>
      <c r="I13" s="199">
        <v>22.051404092999999</v>
      </c>
      <c r="J13" s="199">
        <v>1.5169999999999999</v>
      </c>
      <c r="K13" s="200">
        <v>33896.666666666664</v>
      </c>
      <c r="L13" s="199">
        <v>146.91</v>
      </c>
      <c r="M13" s="200">
        <v>10322.833748077053</v>
      </c>
      <c r="N13" s="200">
        <v>1343.0866666666668</v>
      </c>
      <c r="O13" s="198">
        <v>6.8440669102732006</v>
      </c>
      <c r="P13" s="201"/>
      <c r="Q13" s="202">
        <f t="shared" si="0"/>
        <v>0.30499999999999999</v>
      </c>
      <c r="R13" s="202">
        <v>0.69509181183037516</v>
      </c>
    </row>
    <row r="14" spans="2:18" ht="20.100000000000001" customHeight="1">
      <c r="B14" s="351"/>
      <c r="C14" s="353"/>
      <c r="D14" s="203" t="s">
        <v>215</v>
      </c>
      <c r="E14" s="203" t="s">
        <v>207</v>
      </c>
      <c r="F14" s="223" t="s">
        <v>157</v>
      </c>
      <c r="G14" s="205" t="s">
        <v>208</v>
      </c>
      <c r="H14" s="206">
        <v>0.24297541688957527</v>
      </c>
      <c r="I14" s="207">
        <v>15.784552846</v>
      </c>
      <c r="J14" s="207">
        <v>5.7310000000000008</v>
      </c>
      <c r="K14" s="208">
        <v>50400.339083480678</v>
      </c>
      <c r="L14" s="207">
        <v>356.108</v>
      </c>
      <c r="M14" s="208">
        <v>16092.787084199173</v>
      </c>
      <c r="N14" s="208">
        <v>1539.6112737265694</v>
      </c>
      <c r="O14" s="206">
        <v>23.5858026146919</v>
      </c>
      <c r="P14" s="209"/>
      <c r="Q14" s="210">
        <f t="shared" si="0"/>
        <v>0.30499999999999999</v>
      </c>
      <c r="R14" s="210">
        <v>0.69509181183037516</v>
      </c>
    </row>
    <row r="15" spans="2:18" ht="20.100000000000001" customHeight="1">
      <c r="B15" s="351"/>
      <c r="C15" s="353"/>
      <c r="D15" s="203" t="s">
        <v>215</v>
      </c>
      <c r="E15" s="203" t="s">
        <v>209</v>
      </c>
      <c r="F15" s="223" t="s">
        <v>155</v>
      </c>
      <c r="G15" s="205" t="s">
        <v>208</v>
      </c>
      <c r="H15" s="206">
        <v>1.2845583191999705</v>
      </c>
      <c r="I15" s="207">
        <v>22.051404092999999</v>
      </c>
      <c r="J15" s="207">
        <v>1E-3</v>
      </c>
      <c r="K15" s="208">
        <v>70708.695652173919</v>
      </c>
      <c r="L15" s="207">
        <v>2.4E-2</v>
      </c>
      <c r="M15" s="208">
        <v>2754.4091666666668</v>
      </c>
      <c r="N15" s="208">
        <v>1709.806221731488</v>
      </c>
      <c r="O15" s="206">
        <v>5.1461906409333794E-5</v>
      </c>
      <c r="P15" s="209"/>
      <c r="Q15" s="210">
        <f t="shared" si="0"/>
        <v>0.30499999999999999</v>
      </c>
      <c r="R15" s="210">
        <v>0.69509181183037516</v>
      </c>
    </row>
    <row r="16" spans="2:18" ht="20.100000000000001" customHeight="1">
      <c r="B16" s="351"/>
      <c r="C16" s="353"/>
      <c r="D16" s="203" t="s">
        <v>215</v>
      </c>
      <c r="E16" s="203" t="s">
        <v>207</v>
      </c>
      <c r="F16" s="223" t="s">
        <v>133</v>
      </c>
      <c r="G16" s="205" t="s">
        <v>211</v>
      </c>
      <c r="H16" s="206">
        <v>0.30808183498335601</v>
      </c>
      <c r="I16" s="207">
        <v>22.051404092999999</v>
      </c>
      <c r="J16" s="207">
        <v>4.0000000000000001E-3</v>
      </c>
      <c r="K16" s="208">
        <v>36718.867983693948</v>
      </c>
      <c r="L16" s="207">
        <v>0.28599999999999998</v>
      </c>
      <c r="M16" s="208">
        <v>12097.956888111888</v>
      </c>
      <c r="N16" s="208">
        <v>1343.0866666666668</v>
      </c>
      <c r="O16" s="206">
        <v>1.1230833100519951E-2</v>
      </c>
      <c r="P16" s="209"/>
      <c r="Q16" s="210">
        <f t="shared" si="0"/>
        <v>0.30499999999999999</v>
      </c>
      <c r="R16" s="210">
        <v>0.69509181183037516</v>
      </c>
    </row>
    <row r="17" spans="2:18" ht="20.100000000000001" customHeight="1" thickBot="1">
      <c r="B17" s="352"/>
      <c r="C17" s="349"/>
      <c r="D17" s="214" t="s">
        <v>215</v>
      </c>
      <c r="E17" s="214" t="s">
        <v>212</v>
      </c>
      <c r="F17" s="224" t="s">
        <v>156</v>
      </c>
      <c r="G17" s="225" t="s">
        <v>211</v>
      </c>
      <c r="H17" s="217">
        <v>0.28050534446079667</v>
      </c>
      <c r="I17" s="218">
        <v>22.051404092999999</v>
      </c>
      <c r="J17" s="218">
        <v>1E-3</v>
      </c>
      <c r="K17" s="220">
        <v>38539.138979341078</v>
      </c>
      <c r="L17" s="218">
        <v>3.0000000000000001E-3</v>
      </c>
      <c r="M17" s="220">
        <v>19973.703333333335</v>
      </c>
      <c r="N17" s="220">
        <v>1099.7918790206932</v>
      </c>
      <c r="O17" s="217">
        <v>2.1361842540000003E-4</v>
      </c>
      <c r="P17" s="221"/>
      <c r="Q17" s="222">
        <f t="shared" si="0"/>
        <v>0.30499999999999999</v>
      </c>
      <c r="R17" s="222">
        <v>0.69509181183037516</v>
      </c>
    </row>
    <row r="18" spans="2:18" ht="20.100000000000001" customHeight="1">
      <c r="B18" s="350" t="s">
        <v>216</v>
      </c>
      <c r="C18" s="346" t="s">
        <v>217</v>
      </c>
      <c r="D18" s="195" t="s">
        <v>218</v>
      </c>
      <c r="E18" s="195" t="s">
        <v>207</v>
      </c>
      <c r="F18" s="226" t="s">
        <v>156</v>
      </c>
      <c r="G18" s="197" t="s">
        <v>208</v>
      </c>
      <c r="H18" s="198">
        <v>0.14021476092685786</v>
      </c>
      <c r="I18" s="199">
        <v>34.774647887</v>
      </c>
      <c r="J18" s="199">
        <v>1.0999999999999999E-2</v>
      </c>
      <c r="K18" s="227"/>
      <c r="L18" s="199">
        <v>2.9649999999999999</v>
      </c>
      <c r="M18" s="200">
        <v>3506.1434401349075</v>
      </c>
      <c r="N18" s="200">
        <v>3833.3491898492575</v>
      </c>
      <c r="O18" s="198">
        <v>7.4141375924200018E-2</v>
      </c>
      <c r="P18" s="201"/>
      <c r="Q18" s="202">
        <f t="shared" si="0"/>
        <v>0.29699999999999999</v>
      </c>
      <c r="R18" s="202">
        <v>0.70342808703552206</v>
      </c>
    </row>
    <row r="19" spans="2:18" ht="20.100000000000001" customHeight="1">
      <c r="B19" s="351"/>
      <c r="C19" s="353"/>
      <c r="D19" s="203" t="s">
        <v>218</v>
      </c>
      <c r="E19" s="203" t="s">
        <v>207</v>
      </c>
      <c r="F19" s="228" t="s">
        <v>157</v>
      </c>
      <c r="G19" s="205" t="s">
        <v>208</v>
      </c>
      <c r="H19" s="206">
        <v>0.13479584134353043</v>
      </c>
      <c r="I19" s="207">
        <v>21.981385162999999</v>
      </c>
      <c r="J19" s="207">
        <v>0.81200000000000006</v>
      </c>
      <c r="K19" s="229">
        <v>100000</v>
      </c>
      <c r="L19" s="207">
        <v>83.051000000000002</v>
      </c>
      <c r="M19" s="208">
        <v>9773.7372979253723</v>
      </c>
      <c r="N19" s="208">
        <v>3833.3491898492575</v>
      </c>
      <c r="O19" s="206">
        <v>6.0218375302937996</v>
      </c>
      <c r="P19" s="209"/>
      <c r="Q19" s="210">
        <f t="shared" si="0"/>
        <v>0.29699999999999999</v>
      </c>
      <c r="R19" s="210">
        <v>0.70342808703552206</v>
      </c>
    </row>
    <row r="20" spans="2:18" ht="20.100000000000001" customHeight="1" thickBot="1">
      <c r="B20" s="351"/>
      <c r="C20" s="349"/>
      <c r="D20" s="214" t="s">
        <v>218</v>
      </c>
      <c r="E20" s="214" t="s">
        <v>209</v>
      </c>
      <c r="F20" s="230" t="s">
        <v>155</v>
      </c>
      <c r="G20" s="225" t="s">
        <v>211</v>
      </c>
      <c r="H20" s="217">
        <v>0.4206022071259739</v>
      </c>
      <c r="I20" s="218">
        <v>21.981385162999999</v>
      </c>
      <c r="J20" s="218">
        <v>1E-3</v>
      </c>
      <c r="K20" s="219">
        <v>194172</v>
      </c>
      <c r="L20" s="218">
        <v>5.0000000000000001E-3</v>
      </c>
      <c r="M20" s="220">
        <v>11674.438</v>
      </c>
      <c r="N20" s="220">
        <v>3522.5370933749941</v>
      </c>
      <c r="O20" s="217">
        <v>1.3878241485907618E-4</v>
      </c>
      <c r="P20" s="221"/>
      <c r="Q20" s="222">
        <f t="shared" si="0"/>
        <v>0.29699999999999999</v>
      </c>
      <c r="R20" s="222">
        <v>0.70342808703552206</v>
      </c>
    </row>
    <row r="21" spans="2:18" ht="32.25" customHeight="1" thickBot="1">
      <c r="B21" s="352"/>
      <c r="C21" s="231" t="s">
        <v>219</v>
      </c>
      <c r="D21" s="213" t="s">
        <v>220</v>
      </c>
      <c r="E21" s="213" t="s">
        <v>207</v>
      </c>
      <c r="F21" s="232" t="s">
        <v>157</v>
      </c>
      <c r="G21" s="189" t="s">
        <v>208</v>
      </c>
      <c r="H21" s="233">
        <v>5.0548162725452636E-2</v>
      </c>
      <c r="I21" s="234">
        <v>21.981385162999999</v>
      </c>
      <c r="J21" s="234">
        <v>1.99</v>
      </c>
      <c r="K21" s="235">
        <v>200000</v>
      </c>
      <c r="L21" s="234">
        <v>73.424999999999997</v>
      </c>
      <c r="M21" s="236">
        <v>27090.252711610487</v>
      </c>
      <c r="N21" s="236">
        <v>16297.617065285449</v>
      </c>
      <c r="O21" s="233">
        <v>39.350625187973904</v>
      </c>
      <c r="P21" s="237"/>
      <c r="Q21" s="238">
        <f t="shared" si="0"/>
        <v>0.29699999999999999</v>
      </c>
      <c r="R21" s="238">
        <v>0.70342808703552206</v>
      </c>
    </row>
    <row r="22" spans="2:18" ht="20.100000000000001" customHeight="1">
      <c r="B22" s="350" t="s">
        <v>221</v>
      </c>
      <c r="C22" s="346" t="s">
        <v>222</v>
      </c>
      <c r="D22" s="195" t="s">
        <v>223</v>
      </c>
      <c r="E22" s="195" t="s">
        <v>207</v>
      </c>
      <c r="F22" s="196" t="s">
        <v>156</v>
      </c>
      <c r="G22" s="197" t="s">
        <v>208</v>
      </c>
      <c r="H22" s="198">
        <v>0.10688252747207665</v>
      </c>
      <c r="I22" s="199">
        <v>31</v>
      </c>
      <c r="J22" s="199">
        <v>1E-3</v>
      </c>
      <c r="K22" s="227"/>
      <c r="L22" s="199">
        <v>0.16800000000000001</v>
      </c>
      <c r="M22" s="200">
        <v>5752.6489285714288</v>
      </c>
      <c r="N22" s="200">
        <v>19152.472074982492</v>
      </c>
      <c r="O22" s="198">
        <v>9.0421235617999998E-3</v>
      </c>
      <c r="P22" s="201"/>
      <c r="Q22" s="202">
        <f t="shared" si="0"/>
        <v>0.32500000000000001</v>
      </c>
      <c r="R22" s="202">
        <v>0.67586608607034215</v>
      </c>
    </row>
    <row r="23" spans="2:18" ht="20.100000000000001" customHeight="1">
      <c r="B23" s="351"/>
      <c r="C23" s="353"/>
      <c r="D23" s="203" t="s">
        <v>223</v>
      </c>
      <c r="E23" s="203" t="s">
        <v>207</v>
      </c>
      <c r="F23" s="204" t="s">
        <v>157</v>
      </c>
      <c r="G23" s="205" t="s">
        <v>208</v>
      </c>
      <c r="H23" s="206">
        <v>7.3140734768071314E-2</v>
      </c>
      <c r="I23" s="207">
        <v>26.248000000000001</v>
      </c>
      <c r="J23" s="207">
        <v>0.26200000000000001</v>
      </c>
      <c r="K23" s="229">
        <v>440000</v>
      </c>
      <c r="L23" s="207">
        <v>9.1389999999999993</v>
      </c>
      <c r="M23" s="208">
        <v>28600.88882591093</v>
      </c>
      <c r="N23" s="208">
        <v>19152.472074982492</v>
      </c>
      <c r="O23" s="206">
        <v>3.573706550923299</v>
      </c>
      <c r="P23" s="209"/>
      <c r="Q23" s="210">
        <f t="shared" si="0"/>
        <v>0.32500000000000001</v>
      </c>
      <c r="R23" s="210">
        <v>0.67586608607034215</v>
      </c>
    </row>
    <row r="24" spans="2:18" ht="20.100000000000001" customHeight="1" thickBot="1">
      <c r="B24" s="352"/>
      <c r="C24" s="349"/>
      <c r="D24" s="214" t="s">
        <v>223</v>
      </c>
      <c r="E24" s="214" t="s">
        <v>209</v>
      </c>
      <c r="F24" s="215" t="s">
        <v>155</v>
      </c>
      <c r="G24" s="225" t="s">
        <v>208</v>
      </c>
      <c r="H24" s="217">
        <v>0.26019798353090839</v>
      </c>
      <c r="I24" s="218">
        <v>30</v>
      </c>
      <c r="J24" s="218">
        <v>2E-3</v>
      </c>
      <c r="K24" s="219">
        <v>927408</v>
      </c>
      <c r="L24" s="218">
        <v>6.4000000000000001E-2</v>
      </c>
      <c r="M24" s="220">
        <v>19791.03859375</v>
      </c>
      <c r="N24" s="220">
        <v>17599.568933767699</v>
      </c>
      <c r="O24" s="217">
        <v>4.8679334590213683E-3</v>
      </c>
      <c r="P24" s="221"/>
      <c r="Q24" s="222">
        <f t="shared" si="0"/>
        <v>0.32500000000000001</v>
      </c>
      <c r="R24" s="222">
        <v>0.67586608607034215</v>
      </c>
    </row>
    <row r="25" spans="2:18" ht="20.100000000000001" customHeight="1" thickBot="1">
      <c r="B25" s="239" t="s">
        <v>169</v>
      </c>
      <c r="C25" s="240"/>
      <c r="D25" s="241" t="s">
        <v>224</v>
      </c>
      <c r="E25" s="241" t="s">
        <v>207</v>
      </c>
      <c r="F25" s="242" t="s">
        <v>156</v>
      </c>
      <c r="G25" s="243" t="s">
        <v>208</v>
      </c>
      <c r="H25" s="244">
        <v>0.58423954516980703</v>
      </c>
      <c r="I25" s="245">
        <v>12.147264359999999</v>
      </c>
      <c r="J25" s="245">
        <v>0.40600000000000003</v>
      </c>
      <c r="K25" s="246">
        <v>10000</v>
      </c>
      <c r="L25" s="245">
        <v>157.547</v>
      </c>
      <c r="M25" s="247">
        <v>2573.6648963801281</v>
      </c>
      <c r="N25" s="247">
        <v>500</v>
      </c>
      <c r="O25" s="244">
        <v>0.69401872362499994</v>
      </c>
      <c r="P25" s="248"/>
      <c r="Q25" s="249">
        <f t="shared" si="0"/>
        <v>0.27500000000000002</v>
      </c>
      <c r="R25" s="249">
        <v>0.72563160366197166</v>
      </c>
    </row>
    <row r="26" spans="2:18" ht="20.100000000000001" customHeight="1">
      <c r="B26" s="343" t="s">
        <v>225</v>
      </c>
      <c r="C26" s="250" t="s">
        <v>226</v>
      </c>
      <c r="D26" s="195"/>
      <c r="E26" s="195"/>
      <c r="F26" s="196" t="s">
        <v>227</v>
      </c>
      <c r="G26" s="197" t="s">
        <v>208</v>
      </c>
      <c r="H26" s="227"/>
      <c r="I26" s="227"/>
      <c r="J26" s="227"/>
      <c r="K26" s="227"/>
      <c r="L26" s="227"/>
      <c r="M26" s="227"/>
      <c r="N26" s="227"/>
      <c r="O26" s="251">
        <v>12.412372940920505</v>
      </c>
      <c r="P26" s="201"/>
      <c r="Q26" s="202">
        <f t="shared" si="0"/>
        <v>0.34</v>
      </c>
      <c r="R26" s="202">
        <v>0.66</v>
      </c>
    </row>
    <row r="27" spans="2:18" ht="20.100000000000001" customHeight="1" thickBot="1">
      <c r="B27" s="344"/>
      <c r="C27" s="252" t="s">
        <v>228</v>
      </c>
      <c r="D27" s="214"/>
      <c r="E27" s="214"/>
      <c r="F27" s="215" t="s">
        <v>227</v>
      </c>
      <c r="G27" s="225" t="s">
        <v>208</v>
      </c>
      <c r="H27" s="219"/>
      <c r="I27" s="219"/>
      <c r="J27" s="219"/>
      <c r="K27" s="219"/>
      <c r="L27" s="219"/>
      <c r="M27" s="219"/>
      <c r="N27" s="219"/>
      <c r="O27" s="217">
        <v>40.356662228624941</v>
      </c>
      <c r="P27" s="221"/>
      <c r="Q27" s="222">
        <f t="shared" si="0"/>
        <v>0.2</v>
      </c>
      <c r="R27" s="222">
        <v>0.8</v>
      </c>
    </row>
    <row r="28" spans="2:18" ht="20.100000000000001" customHeight="1">
      <c r="B28" s="343" t="s">
        <v>229</v>
      </c>
      <c r="C28" s="346" t="s">
        <v>205</v>
      </c>
      <c r="D28" s="195"/>
      <c r="E28" s="195"/>
      <c r="F28" s="196" t="s">
        <v>157</v>
      </c>
      <c r="G28" s="197" t="s">
        <v>208</v>
      </c>
      <c r="H28" s="227"/>
      <c r="I28" s="227"/>
      <c r="J28" s="227"/>
      <c r="K28" s="227"/>
      <c r="L28" s="227"/>
      <c r="M28" s="227"/>
      <c r="N28" s="227"/>
      <c r="O28" s="198">
        <v>0.44616946569999993</v>
      </c>
      <c r="P28" s="201"/>
      <c r="Q28" s="202">
        <f t="shared" si="0"/>
        <v>0.25700000000000001</v>
      </c>
      <c r="R28" s="202">
        <v>0.74358974358974361</v>
      </c>
    </row>
    <row r="29" spans="2:18" ht="20.100000000000001" customHeight="1">
      <c r="B29" s="345"/>
      <c r="C29" s="347"/>
      <c r="D29" s="203"/>
      <c r="E29" s="203"/>
      <c r="F29" s="204" t="s">
        <v>155</v>
      </c>
      <c r="G29" s="205" t="s">
        <v>208</v>
      </c>
      <c r="H29" s="229"/>
      <c r="I29" s="229"/>
      <c r="J29" s="229"/>
      <c r="K29" s="229"/>
      <c r="L29" s="229"/>
      <c r="M29" s="229"/>
      <c r="N29" s="229"/>
      <c r="O29" s="253">
        <v>0.15255000000000002</v>
      </c>
      <c r="P29" s="209"/>
      <c r="Q29" s="210">
        <f t="shared" si="0"/>
        <v>0</v>
      </c>
      <c r="R29" s="210">
        <v>1</v>
      </c>
    </row>
    <row r="30" spans="2:18" ht="20.100000000000001" customHeight="1">
      <c r="B30" s="345"/>
      <c r="C30" s="348" t="s">
        <v>230</v>
      </c>
      <c r="D30" s="203"/>
      <c r="E30" s="203"/>
      <c r="F30" s="204" t="s">
        <v>157</v>
      </c>
      <c r="G30" s="205" t="s">
        <v>208</v>
      </c>
      <c r="H30" s="229"/>
      <c r="I30" s="229"/>
      <c r="J30" s="229"/>
      <c r="K30" s="229"/>
      <c r="L30" s="206"/>
      <c r="M30" s="229"/>
      <c r="N30" s="229"/>
      <c r="O30" s="253">
        <v>1.7543150685</v>
      </c>
      <c r="P30" s="209"/>
      <c r="Q30" s="210">
        <f t="shared" si="0"/>
        <v>0.25700000000000001</v>
      </c>
      <c r="R30" s="210">
        <v>0.74358974358974361</v>
      </c>
    </row>
    <row r="31" spans="2:18" ht="20.100000000000001" customHeight="1" thickBot="1">
      <c r="B31" s="344"/>
      <c r="C31" s="349"/>
      <c r="D31" s="214"/>
      <c r="E31" s="214"/>
      <c r="F31" s="215" t="s">
        <v>155</v>
      </c>
      <c r="G31" s="225" t="s">
        <v>208</v>
      </c>
      <c r="H31" s="219"/>
      <c r="I31" s="219"/>
      <c r="J31" s="219"/>
      <c r="K31" s="219"/>
      <c r="L31" s="219"/>
      <c r="M31" s="219"/>
      <c r="N31" s="219"/>
      <c r="O31" s="254">
        <v>9.8391999999999993E-2</v>
      </c>
      <c r="P31" s="221"/>
      <c r="Q31" s="222">
        <f t="shared" si="0"/>
        <v>0.25700000000000001</v>
      </c>
      <c r="R31" s="222">
        <v>0.74358974358974361</v>
      </c>
    </row>
    <row r="32" spans="2:18" ht="20.100000000000001" customHeight="1" thickBot="1">
      <c r="B32" s="343" t="s">
        <v>167</v>
      </c>
      <c r="C32" s="250" t="s">
        <v>226</v>
      </c>
      <c r="D32" s="195"/>
      <c r="E32" s="195"/>
      <c r="F32" s="196" t="s">
        <v>158</v>
      </c>
      <c r="G32" s="197" t="s">
        <v>208</v>
      </c>
      <c r="H32" s="227"/>
      <c r="I32" s="227"/>
      <c r="J32" s="227"/>
      <c r="K32" s="227"/>
      <c r="L32" s="227"/>
      <c r="M32" s="227"/>
      <c r="N32" s="227"/>
      <c r="O32" s="198">
        <v>5.8600261216429228</v>
      </c>
      <c r="P32" s="201"/>
      <c r="Q32" s="275">
        <f t="shared" si="0"/>
        <v>0.66400000000000003</v>
      </c>
      <c r="R32" s="278">
        <v>0.33600000000000002</v>
      </c>
    </row>
    <row r="33" spans="2:18" ht="20.100000000000001" customHeight="1" thickBot="1">
      <c r="B33" s="344"/>
      <c r="C33" s="252" t="s">
        <v>231</v>
      </c>
      <c r="D33" s="214"/>
      <c r="E33" s="214"/>
      <c r="F33" s="215" t="s">
        <v>158</v>
      </c>
      <c r="G33" s="225" t="s">
        <v>208</v>
      </c>
      <c r="H33" s="219"/>
      <c r="I33" s="219"/>
      <c r="J33" s="219"/>
      <c r="K33" s="219"/>
      <c r="L33" s="219"/>
      <c r="M33" s="219"/>
      <c r="N33" s="219"/>
      <c r="O33" s="254">
        <v>14.036419966932959</v>
      </c>
      <c r="P33" s="221"/>
      <c r="Q33" s="255">
        <f t="shared" si="0"/>
        <v>0.218</v>
      </c>
      <c r="R33" s="279">
        <v>0.78200000000000003</v>
      </c>
    </row>
    <row r="34" spans="2:18">
      <c r="G34" s="256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T34" sqref="T34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32" t="s">
        <v>243</v>
      </c>
      <c r="G4" s="70" t="s">
        <v>193</v>
      </c>
      <c r="H4" s="132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67" t="s">
        <v>204</v>
      </c>
      <c r="C5" s="364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7"/>
      <c r="S5" s="81">
        <f>1-T5</f>
        <v>0.25866952762433204</v>
      </c>
      <c r="T5" s="274">
        <v>0.74133047237566796</v>
      </c>
    </row>
    <row r="6" spans="1:20" ht="13.5" thickBot="1">
      <c r="B6" s="362"/>
      <c r="C6" s="365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8"/>
      <c r="S6" s="88">
        <f t="shared" ref="S6:S33" si="0">1-T6</f>
        <v>0.25866952762433204</v>
      </c>
      <c r="T6" s="274">
        <v>0.74133047237566796</v>
      </c>
    </row>
    <row r="7" spans="1:20" ht="13.5" thickBot="1">
      <c r="B7" s="362"/>
      <c r="C7" s="365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8"/>
      <c r="S7" s="88">
        <f t="shared" si="0"/>
        <v>0.25866952762433204</v>
      </c>
      <c r="T7" s="274">
        <v>0.74133047237566796</v>
      </c>
    </row>
    <row r="8" spans="1:20" ht="13.5" thickBot="1">
      <c r="B8" s="362"/>
      <c r="C8" s="365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8"/>
      <c r="S8" s="88">
        <f t="shared" si="0"/>
        <v>0.25866952762433204</v>
      </c>
      <c r="T8" s="274">
        <v>0.74133047237566796</v>
      </c>
    </row>
    <row r="9" spans="1:20" ht="13.5" thickBot="1">
      <c r="B9" s="362"/>
      <c r="C9" s="365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8"/>
      <c r="S9" s="88">
        <f t="shared" si="0"/>
        <v>0.25866952762433204</v>
      </c>
      <c r="T9" s="274">
        <v>0.74133047237566796</v>
      </c>
    </row>
    <row r="10" spans="1:20" ht="13.5" thickBot="1">
      <c r="B10" s="362"/>
      <c r="C10" s="365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8"/>
      <c r="S10" s="88">
        <f t="shared" si="0"/>
        <v>0.25866952762433204</v>
      </c>
      <c r="T10" s="274">
        <v>0.74133047237566796</v>
      </c>
    </row>
    <row r="11" spans="1:20" ht="13.5" thickBot="1">
      <c r="B11" s="362"/>
      <c r="C11" s="365"/>
      <c r="D11" s="75" t="s">
        <v>206</v>
      </c>
      <c r="E11" s="89" t="s">
        <v>213</v>
      </c>
      <c r="F11" s="133" t="s">
        <v>213</v>
      </c>
      <c r="G11" s="83" t="s">
        <v>156</v>
      </c>
      <c r="H11" s="134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74">
        <v>0.74133047237566796</v>
      </c>
    </row>
    <row r="12" spans="1:20" ht="13.5" thickBot="1">
      <c r="B12" s="362"/>
      <c r="C12" s="366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9"/>
      <c r="S12" s="98">
        <f t="shared" si="0"/>
        <v>0.25866952762433204</v>
      </c>
      <c r="T12" s="274">
        <v>0.74133047237566796</v>
      </c>
    </row>
    <row r="13" spans="1:20">
      <c r="B13" s="362"/>
      <c r="C13" s="364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7"/>
      <c r="S13" s="81">
        <f t="shared" si="0"/>
        <v>0.29420033050816774</v>
      </c>
      <c r="T13" s="274">
        <v>0.70579966949183226</v>
      </c>
    </row>
    <row r="14" spans="1:20">
      <c r="B14" s="362"/>
      <c r="C14" s="365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8"/>
      <c r="S14" s="88">
        <f t="shared" si="0"/>
        <v>0.29420033050816774</v>
      </c>
      <c r="T14" s="274">
        <v>0.70579966949183226</v>
      </c>
    </row>
    <row r="15" spans="1:20">
      <c r="B15" s="368"/>
      <c r="C15" s="359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8"/>
      <c r="S15" s="88">
        <f t="shared" si="0"/>
        <v>0.29420033050816774</v>
      </c>
      <c r="T15" s="274">
        <v>0.70579966949183226</v>
      </c>
    </row>
    <row r="16" spans="1:20">
      <c r="B16" s="368"/>
      <c r="C16" s="359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8"/>
      <c r="S16" s="88">
        <f t="shared" si="0"/>
        <v>0.29420033050816774</v>
      </c>
      <c r="T16" s="274">
        <v>0.70579966949183226</v>
      </c>
    </row>
    <row r="17" spans="2:20" ht="13.5" thickBot="1">
      <c r="B17" s="368"/>
      <c r="C17" s="366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9"/>
      <c r="S17" s="98">
        <f t="shared" si="0"/>
        <v>0.29420033050816774</v>
      </c>
      <c r="T17" s="274">
        <v>0.70579966949183226</v>
      </c>
    </row>
    <row r="18" spans="2:20" ht="13.5" thickBot="1">
      <c r="B18" s="361" t="s">
        <v>216</v>
      </c>
      <c r="C18" s="364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f>ROUNDUP([7]Outputs!J18,3)</f>
        <v>1.2E-2</v>
      </c>
      <c r="M18" s="78">
        <f>(([7]Outputs!K18)/1)/1000</f>
        <v>0</v>
      </c>
      <c r="N18" s="79">
        <f>([7]Outputs!L18)*1000</f>
        <v>2.96034</v>
      </c>
      <c r="O18" s="80">
        <f>[7]Outputs!M18</f>
        <v>4020.9501037043037</v>
      </c>
      <c r="P18" s="80">
        <f>([7]Outputs!N18)/1000</f>
        <v>3.8013612509083341</v>
      </c>
      <c r="Q18" s="78">
        <f>[7]Outputs!O18</f>
        <v>8.7279557070999991E-2</v>
      </c>
      <c r="R18" s="127"/>
      <c r="S18" s="81">
        <f t="shared" si="0"/>
        <v>0.29551795164883077</v>
      </c>
      <c r="T18" s="274">
        <v>0.70448204835116923</v>
      </c>
    </row>
    <row r="19" spans="2:20">
      <c r="B19" s="362"/>
      <c r="C19" s="365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f>ROUNDUP([7]Outputs!J19,3)</f>
        <v>0.89400000000000002</v>
      </c>
      <c r="M19" s="85">
        <f>(([7]Outputs!K19)/1)/1000</f>
        <v>100</v>
      </c>
      <c r="N19" s="86">
        <f>([7]Outputs!L19)*1000</f>
        <v>92.572149999999993</v>
      </c>
      <c r="O19" s="87">
        <f>[7]Outputs!M19</f>
        <v>9653.0362448101296</v>
      </c>
      <c r="P19" s="87">
        <f>([7]Outputs!N19)/1000</f>
        <v>3.8013612509083341</v>
      </c>
      <c r="Q19" s="85">
        <f>[7]Outputs!O19</f>
        <v>6.7762681793733988</v>
      </c>
      <c r="R19" s="128"/>
      <c r="S19" s="88">
        <f t="shared" si="0"/>
        <v>0.29551795164883077</v>
      </c>
      <c r="T19" s="274">
        <v>0.70448204835116923</v>
      </c>
    </row>
    <row r="20" spans="2:20" ht="13.5" thickBot="1">
      <c r="B20" s="362"/>
      <c r="C20" s="366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f>ROUNDUP([7]Outputs!J20,3)</f>
        <v>1E-3</v>
      </c>
      <c r="M20" s="95">
        <f>(([7]Outputs!K20)/1)/1000</f>
        <v>194.172</v>
      </c>
      <c r="N20" s="96">
        <f>([7]Outputs!L20)*1000</f>
        <v>4.1729999999999996E-2</v>
      </c>
      <c r="O20" s="97">
        <f>[7]Outputs!M20</f>
        <v>8441.7924754373362</v>
      </c>
      <c r="P20" s="97">
        <f>([7]Outputs!N20)/1000</f>
        <v>3.4931427711049565</v>
      </c>
      <c r="Q20" s="95">
        <f>[7]Outputs!O20</f>
        <v>5.865775402417113E-4</v>
      </c>
      <c r="R20" s="129"/>
      <c r="S20" s="98">
        <f t="shared" si="0"/>
        <v>0.29551795164883077</v>
      </c>
      <c r="T20" s="274">
        <v>0.70448204835116923</v>
      </c>
    </row>
    <row r="21" spans="2:20" ht="26.25" thickBot="1">
      <c r="B21" s="363"/>
      <c r="C21" s="105" t="s">
        <v>219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107">
        <f>[7]Outputs!H21</f>
        <v>4.913509719070084E-2</v>
      </c>
      <c r="K21" s="107">
        <f>[7]Outputs!I21</f>
        <v>21.981385162999999</v>
      </c>
      <c r="L21" s="108">
        <f>ROUNDUP([7]Outputs!J21,3)</f>
        <v>2.2689999999999997</v>
      </c>
      <c r="M21" s="107">
        <f>(([7]Outputs!K21)/1)/1000</f>
        <v>200</v>
      </c>
      <c r="N21" s="108">
        <f>([7]Outputs!L21)*1000</f>
        <v>82.977260000000001</v>
      </c>
      <c r="O21" s="109">
        <f>[7]Outputs!M21</f>
        <v>27334.743834756657</v>
      </c>
      <c r="P21" s="109">
        <f>([7]Outputs!N21)/1000</f>
        <v>16.444704017308972</v>
      </c>
      <c r="Q21" s="107">
        <f>[7]Outputs!O21</f>
        <v>46.161751495207497</v>
      </c>
      <c r="R21" s="130"/>
      <c r="S21" s="110">
        <f t="shared" si="0"/>
        <v>0.29551795164883077</v>
      </c>
      <c r="T21" s="274">
        <v>0.70448204835116923</v>
      </c>
    </row>
    <row r="22" spans="2:20" ht="13.5" thickBot="1">
      <c r="B22" s="361" t="s">
        <v>221</v>
      </c>
      <c r="C22" s="364" t="s">
        <v>222</v>
      </c>
      <c r="D22" s="75" t="s">
        <v>223</v>
      </c>
      <c r="E22" s="75" t="s">
        <v>207</v>
      </c>
      <c r="F22" s="102" t="s">
        <v>207</v>
      </c>
      <c r="G22" s="76" t="s">
        <v>156</v>
      </c>
      <c r="H22" s="76" t="s">
        <v>234</v>
      </c>
      <c r="I22" s="77" t="s">
        <v>208</v>
      </c>
      <c r="J22" s="78">
        <f>[7]Outputs!H22</f>
        <v>0.10878530623606167</v>
      </c>
      <c r="K22" s="78">
        <f>[7]Outputs!I22</f>
        <v>31</v>
      </c>
      <c r="L22" s="86">
        <f>ROUNDUP([7]Outputs!J22,3)</f>
        <v>2E-3</v>
      </c>
      <c r="M22" s="78">
        <f>(([7]Outputs!K22)/1)/1000</f>
        <v>0</v>
      </c>
      <c r="N22" s="79">
        <f>([7]Outputs!L22)*1000</f>
        <v>0.15787000000000001</v>
      </c>
      <c r="O22" s="80">
        <f>[7]Outputs!M22</f>
        <v>6450.3937416861972</v>
      </c>
      <c r="P22" s="80">
        <f>([7]Outputs!N22)/1000</f>
        <v>18.74419950494234</v>
      </c>
      <c r="Q22" s="78">
        <f>[7]Outputs!O22</f>
        <v>9.3608566747999996E-3</v>
      </c>
      <c r="R22" s="127"/>
      <c r="S22" s="81">
        <f t="shared" si="0"/>
        <v>0.32435468707795845</v>
      </c>
      <c r="T22" s="274">
        <v>0.67564531292204155</v>
      </c>
    </row>
    <row r="23" spans="2:20">
      <c r="B23" s="362"/>
      <c r="C23" s="365"/>
      <c r="D23" s="82" t="s">
        <v>223</v>
      </c>
      <c r="E23" s="82" t="s">
        <v>207</v>
      </c>
      <c r="F23" s="102" t="s">
        <v>207</v>
      </c>
      <c r="G23" s="83" t="s">
        <v>157</v>
      </c>
      <c r="H23" s="83" t="s">
        <v>235</v>
      </c>
      <c r="I23" s="84" t="s">
        <v>208</v>
      </c>
      <c r="J23" s="85">
        <f>[7]Outputs!H23</f>
        <v>7.3200547754531456E-2</v>
      </c>
      <c r="K23" s="85">
        <f>[7]Outputs!I23</f>
        <v>26.248000000000001</v>
      </c>
      <c r="L23" s="86">
        <f>ROUNDUP([7]Outputs!J23,3)</f>
        <v>0.30599999999999999</v>
      </c>
      <c r="M23" s="85">
        <f>(([7]Outputs!K23)/1)/1000</f>
        <v>440</v>
      </c>
      <c r="N23" s="86">
        <f>([7]Outputs!L23)*1000</f>
        <v>10.997959999999999</v>
      </c>
      <c r="O23" s="87">
        <f>[7]Outputs!M23</f>
        <v>27792.509215345392</v>
      </c>
      <c r="P23" s="87">
        <f>([7]Outputs!N23)/1000</f>
        <v>18.74419950494234</v>
      </c>
      <c r="Q23" s="85">
        <f>[7]Outputs!O23</f>
        <v>4.1756641722817998</v>
      </c>
      <c r="R23" s="128"/>
      <c r="S23" s="88">
        <f t="shared" si="0"/>
        <v>0.32435468707795845</v>
      </c>
      <c r="T23" s="274">
        <v>0.67564531292204155</v>
      </c>
    </row>
    <row r="24" spans="2:20" ht="13.5" thickBot="1">
      <c r="B24" s="363"/>
      <c r="C24" s="366"/>
      <c r="D24" s="92" t="s">
        <v>223</v>
      </c>
      <c r="E24" s="92" t="s">
        <v>209</v>
      </c>
      <c r="F24" s="104" t="s">
        <v>209</v>
      </c>
      <c r="G24" s="93" t="s">
        <v>155</v>
      </c>
      <c r="H24" s="93" t="s">
        <v>236</v>
      </c>
      <c r="I24" s="101" t="s">
        <v>208</v>
      </c>
      <c r="J24" s="95">
        <f>[7]Outputs!H24</f>
        <v>0.26548125081615598</v>
      </c>
      <c r="K24" s="95">
        <f>[7]Outputs!I24</f>
        <v>30</v>
      </c>
      <c r="L24" s="96">
        <f>ROUNDUP([7]Outputs!J24,3)</f>
        <v>3.0000000000000001E-3</v>
      </c>
      <c r="M24" s="95">
        <f>(([7]Outputs!K24)/1)/1000</f>
        <v>927.40800000000002</v>
      </c>
      <c r="N24" s="96">
        <f>([7]Outputs!L24)*1000</f>
        <v>8.6559999999999998E-2</v>
      </c>
      <c r="O24" s="97">
        <f>[7]Outputs!M24</f>
        <v>32808.629505545287</v>
      </c>
      <c r="P24" s="97">
        <f>([7]Outputs!N24)/1000</f>
        <v>17.224399545082154</v>
      </c>
      <c r="Q24" s="95">
        <f>[7]Outputs!O24</f>
        <v>1.0697233651225421E-2</v>
      </c>
      <c r="R24" s="129"/>
      <c r="S24" s="98">
        <f t="shared" si="0"/>
        <v>0.32435468707795845</v>
      </c>
      <c r="T24" s="274">
        <v>0.67564531292204155</v>
      </c>
    </row>
    <row r="25" spans="2:20" ht="13.5" thickBot="1">
      <c r="B25" s="111" t="s">
        <v>169</v>
      </c>
      <c r="C25" s="112"/>
      <c r="D25" s="113" t="s">
        <v>224</v>
      </c>
      <c r="E25" s="113" t="s">
        <v>207</v>
      </c>
      <c r="F25" s="102" t="s">
        <v>207</v>
      </c>
      <c r="G25" s="114" t="s">
        <v>156</v>
      </c>
      <c r="H25" s="114" t="s">
        <v>234</v>
      </c>
      <c r="I25" s="115" t="s">
        <v>208</v>
      </c>
      <c r="J25" s="116">
        <f>[7]Outputs!H25</f>
        <v>0.58602989312730902</v>
      </c>
      <c r="K25" s="116">
        <f>[7]Outputs!I25</f>
        <v>12.147264359999999</v>
      </c>
      <c r="L25" s="117">
        <f>ROUNDUP([7]Outputs!J25,3)</f>
        <v>0.41899999999999998</v>
      </c>
      <c r="M25" s="116">
        <f>(([7]Outputs!K25)/1)/1000</f>
        <v>10</v>
      </c>
      <c r="N25" s="117">
        <f>([7]Outputs!L25)*1000</f>
        <v>173.91852</v>
      </c>
      <c r="O25" s="118">
        <f>[7]Outputs!M25</f>
        <v>2404.5819246276938</v>
      </c>
      <c r="P25" s="118">
        <f>([7]Outputs!N25)/1000</f>
        <v>0.5</v>
      </c>
      <c r="Q25" s="116">
        <f>[7]Outputs!O25</f>
        <v>0.71361774280539991</v>
      </c>
      <c r="R25" s="131"/>
      <c r="S25" s="119">
        <f t="shared" si="0"/>
        <v>0.27605295776617755</v>
      </c>
      <c r="T25" s="274">
        <v>0.72394704223382245</v>
      </c>
    </row>
    <row r="26" spans="2:20">
      <c r="B26" s="354" t="s">
        <v>225</v>
      </c>
      <c r="C26" s="120" t="s">
        <v>226</v>
      </c>
      <c r="D26" s="75"/>
      <c r="E26" s="75"/>
      <c r="F26" s="102"/>
      <c r="G26" s="76" t="s">
        <v>227</v>
      </c>
      <c r="H26" s="76" t="s">
        <v>106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21">
        <f>[7]Outputs!O26</f>
        <v>16.23163850531953</v>
      </c>
      <c r="R26" s="127"/>
      <c r="S26" s="81">
        <f t="shared" si="0"/>
        <v>0.33999999999999997</v>
      </c>
      <c r="T26" s="274">
        <v>0.66</v>
      </c>
    </row>
    <row r="27" spans="2:20" ht="13.5" thickBot="1">
      <c r="B27" s="355"/>
      <c r="C27" s="122" t="s">
        <v>228</v>
      </c>
      <c r="D27" s="92"/>
      <c r="E27" s="92"/>
      <c r="F27" s="104"/>
      <c r="G27" s="93" t="s">
        <v>227</v>
      </c>
      <c r="H27" s="93" t="s">
        <v>106</v>
      </c>
      <c r="I27" s="101" t="s">
        <v>208</v>
      </c>
      <c r="J27" s="95"/>
      <c r="K27" s="95"/>
      <c r="L27" s="95"/>
      <c r="M27" s="95"/>
      <c r="N27" s="95"/>
      <c r="O27" s="95"/>
      <c r="P27" s="95"/>
      <c r="Q27" s="95">
        <f>[7]Outputs!O27</f>
        <v>57.145128994219554</v>
      </c>
      <c r="R27" s="129"/>
      <c r="S27" s="98">
        <f t="shared" si="0"/>
        <v>0.19999999999999996</v>
      </c>
      <c r="T27" s="274">
        <v>0.8</v>
      </c>
    </row>
    <row r="28" spans="2:20">
      <c r="B28" s="354" t="s">
        <v>229</v>
      </c>
      <c r="C28" s="357" t="s">
        <v>205</v>
      </c>
      <c r="D28" s="75"/>
      <c r="E28" s="75"/>
      <c r="F28" s="102"/>
      <c r="G28" s="76" t="s">
        <v>157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27"/>
      <c r="S28" s="81">
        <f t="shared" si="0"/>
        <v>0.25641025641025639</v>
      </c>
      <c r="T28" s="274">
        <v>0.74358974358974361</v>
      </c>
    </row>
    <row r="29" spans="2:20">
      <c r="B29" s="356"/>
      <c r="C29" s="358"/>
      <c r="D29" s="82"/>
      <c r="E29" s="82"/>
      <c r="F29" s="103"/>
      <c r="G29" s="83" t="s">
        <v>155</v>
      </c>
      <c r="H29" s="83" t="s">
        <v>84</v>
      </c>
      <c r="I29" s="84" t="s">
        <v>208</v>
      </c>
      <c r="J29" s="85"/>
      <c r="K29" s="85"/>
      <c r="L29" s="85"/>
      <c r="M29" s="85"/>
      <c r="N29" s="85"/>
      <c r="O29" s="85"/>
      <c r="P29" s="85"/>
      <c r="Q29" s="123">
        <f>[7]Outputs!O29</f>
        <v>0.21429400000000001</v>
      </c>
      <c r="R29" s="128"/>
      <c r="S29" s="88">
        <f t="shared" si="0"/>
        <v>0</v>
      </c>
      <c r="T29" s="274">
        <v>1</v>
      </c>
    </row>
    <row r="30" spans="2:20">
      <c r="B30" s="356"/>
      <c r="C30" s="359" t="s">
        <v>230</v>
      </c>
      <c r="D30" s="82"/>
      <c r="E30" s="82"/>
      <c r="F30" s="103"/>
      <c r="G30" s="83" t="s">
        <v>157</v>
      </c>
      <c r="H30" s="83" t="s">
        <v>235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23">
        <f>[7]Outputs!O30</f>
        <v>1.5216156755530919</v>
      </c>
      <c r="R30" s="128"/>
      <c r="S30" s="88">
        <f t="shared" si="0"/>
        <v>0.25641025641025639</v>
      </c>
      <c r="T30" s="274">
        <v>0.74358974358974361</v>
      </c>
    </row>
    <row r="31" spans="2:20" ht="13.5" thickBot="1">
      <c r="B31" s="355"/>
      <c r="C31" s="360"/>
      <c r="D31" s="92"/>
      <c r="E31" s="92"/>
      <c r="F31" s="104"/>
      <c r="G31" s="93" t="s">
        <v>155</v>
      </c>
      <c r="H31" s="93" t="s">
        <v>84</v>
      </c>
      <c r="I31" s="101" t="s">
        <v>208</v>
      </c>
      <c r="J31" s="95"/>
      <c r="K31" s="95"/>
      <c r="L31" s="95"/>
      <c r="M31" s="95"/>
      <c r="N31" s="95"/>
      <c r="O31" s="95"/>
      <c r="P31" s="95"/>
      <c r="Q31" s="124">
        <f>[7]Outputs!O31</f>
        <v>5.6542000000000002E-2</v>
      </c>
      <c r="R31" s="129"/>
      <c r="S31" s="98">
        <f t="shared" si="0"/>
        <v>0.25641025641025639</v>
      </c>
      <c r="T31" s="274">
        <v>0.74358974358974361</v>
      </c>
    </row>
    <row r="32" spans="2:20" ht="15.75" thickBot="1">
      <c r="B32" s="354" t="s">
        <v>167</v>
      </c>
      <c r="C32" s="120" t="s">
        <v>226</v>
      </c>
      <c r="D32" s="75"/>
      <c r="E32" s="75"/>
      <c r="F32" s="102"/>
      <c r="G32" s="76" t="s">
        <v>158</v>
      </c>
      <c r="H32" s="76" t="s">
        <v>107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27"/>
      <c r="S32" s="276">
        <f t="shared" si="0"/>
        <v>0.66399999999999992</v>
      </c>
      <c r="T32" s="277">
        <v>0.33600000000000002</v>
      </c>
    </row>
    <row r="33" spans="2:20" ht="13.5" thickBot="1">
      <c r="B33" s="355"/>
      <c r="C33" s="122" t="s">
        <v>231</v>
      </c>
      <c r="D33" s="92"/>
      <c r="E33" s="92"/>
      <c r="F33" s="104"/>
      <c r="G33" s="93" t="s">
        <v>158</v>
      </c>
      <c r="H33" s="93" t="s">
        <v>107</v>
      </c>
      <c r="I33" s="101" t="s">
        <v>208</v>
      </c>
      <c r="J33" s="95"/>
      <c r="K33" s="95"/>
      <c r="L33" s="95"/>
      <c r="M33" s="95"/>
      <c r="N33" s="95"/>
      <c r="O33" s="95"/>
      <c r="P33" s="95"/>
      <c r="Q33" s="124">
        <f>[7]Outputs!O33</f>
        <v>13.286203471697528</v>
      </c>
      <c r="R33" s="129"/>
      <c r="S33" s="125">
        <f t="shared" si="0"/>
        <v>0.21799999999999997</v>
      </c>
      <c r="T33" s="277">
        <v>0.78200000000000003</v>
      </c>
    </row>
    <row r="34" spans="2:20">
      <c r="I34" s="126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opLeftCell="B1" zoomScale="70" zoomScaleNormal="70" workbookViewId="0">
      <selection activeCell="V12" sqref="V12"/>
    </sheetView>
  </sheetViews>
  <sheetFormatPr defaultRowHeight="15"/>
  <cols>
    <col min="1" max="1" width="37" style="282" customWidth="1"/>
    <col min="2" max="2" width="15.28515625" style="282" customWidth="1"/>
    <col min="3" max="16" width="9.140625" style="282"/>
    <col min="17" max="17" width="35" style="282" customWidth="1"/>
    <col min="18" max="18" width="15.140625" style="282" customWidth="1"/>
    <col min="19" max="16384" width="9.140625" style="282"/>
  </cols>
  <sheetData>
    <row r="1" spans="1:30">
      <c r="A1" s="280" t="s">
        <v>278</v>
      </c>
      <c r="B1" s="281" t="s">
        <v>279</v>
      </c>
      <c r="C1" s="281">
        <v>2015</v>
      </c>
      <c r="D1" s="281">
        <v>2016</v>
      </c>
      <c r="E1" s="281">
        <v>2018</v>
      </c>
      <c r="F1" s="281">
        <v>2021</v>
      </c>
      <c r="G1" s="281">
        <v>2025</v>
      </c>
      <c r="H1" s="281">
        <v>2030</v>
      </c>
      <c r="I1" s="281">
        <v>2035</v>
      </c>
      <c r="J1" s="281">
        <v>2040</v>
      </c>
      <c r="K1" s="281">
        <v>2045</v>
      </c>
      <c r="L1" s="281">
        <v>2050</v>
      </c>
      <c r="M1" s="281">
        <v>2055</v>
      </c>
      <c r="N1" s="281">
        <v>2060</v>
      </c>
      <c r="Q1" s="283" t="s">
        <v>280</v>
      </c>
      <c r="R1" s="284" t="s">
        <v>279</v>
      </c>
      <c r="S1" s="284">
        <v>2015</v>
      </c>
      <c r="T1" s="284">
        <v>2016</v>
      </c>
      <c r="U1" s="284">
        <v>2018</v>
      </c>
      <c r="V1" s="284">
        <v>2021</v>
      </c>
      <c r="W1" s="284">
        <v>2025</v>
      </c>
      <c r="X1" s="284">
        <v>2030</v>
      </c>
      <c r="Y1" s="284">
        <v>2035</v>
      </c>
      <c r="Z1" s="284">
        <v>2040</v>
      </c>
      <c r="AA1" s="284">
        <v>2045</v>
      </c>
      <c r="AB1" s="284">
        <v>2050</v>
      </c>
      <c r="AC1" s="284">
        <v>2055</v>
      </c>
      <c r="AD1" s="284">
        <v>2060</v>
      </c>
    </row>
    <row r="2" spans="1:30">
      <c r="A2" s="285" t="s">
        <v>281</v>
      </c>
      <c r="B2" s="285" t="s">
        <v>92</v>
      </c>
      <c r="C2" s="334">
        <v>24.17</v>
      </c>
      <c r="D2" s="334">
        <v>25.19</v>
      </c>
      <c r="E2" s="334">
        <v>26.5</v>
      </c>
      <c r="F2" s="334">
        <v>28.37</v>
      </c>
      <c r="G2" s="334">
        <v>30.96</v>
      </c>
      <c r="H2" s="334">
        <v>34.549999999999997</v>
      </c>
      <c r="I2" s="334">
        <v>37.83</v>
      </c>
      <c r="J2" s="334">
        <v>40.08</v>
      </c>
      <c r="K2" s="334">
        <v>42.65</v>
      </c>
      <c r="L2" s="334">
        <v>45.41</v>
      </c>
      <c r="M2" s="334">
        <v>47.82</v>
      </c>
      <c r="N2" s="334">
        <v>50.05</v>
      </c>
      <c r="O2" s="333"/>
      <c r="P2" s="333"/>
      <c r="Q2" s="334" t="s">
        <v>281</v>
      </c>
      <c r="R2" s="334" t="s">
        <v>92</v>
      </c>
      <c r="S2" s="334">
        <v>8.43</v>
      </c>
      <c r="T2" s="334">
        <v>8.7899999999999991</v>
      </c>
      <c r="U2" s="334">
        <v>9.24</v>
      </c>
      <c r="V2" s="334">
        <v>9.9</v>
      </c>
      <c r="W2" s="334">
        <v>10.8</v>
      </c>
      <c r="X2" s="334">
        <v>12.05</v>
      </c>
      <c r="Y2" s="334">
        <v>13.2</v>
      </c>
      <c r="Z2" s="334">
        <v>13.98</v>
      </c>
      <c r="AA2" s="334">
        <v>14.88</v>
      </c>
      <c r="AB2" s="334">
        <v>15.84</v>
      </c>
      <c r="AC2" s="334">
        <v>16.68</v>
      </c>
      <c r="AD2" s="334">
        <v>17.46</v>
      </c>
    </row>
    <row r="3" spans="1:30">
      <c r="A3" s="282" t="s">
        <v>282</v>
      </c>
      <c r="B3" s="282" t="s">
        <v>92</v>
      </c>
      <c r="C3" s="333">
        <v>5.12</v>
      </c>
      <c r="D3" s="333">
        <v>5.53</v>
      </c>
      <c r="E3" s="333">
        <v>6.45</v>
      </c>
      <c r="F3" s="333">
        <v>7.08</v>
      </c>
      <c r="G3" s="333">
        <v>7.94</v>
      </c>
      <c r="H3" s="333">
        <v>9.18</v>
      </c>
      <c r="I3" s="333">
        <v>10.45</v>
      </c>
      <c r="J3" s="333">
        <v>11.56</v>
      </c>
      <c r="K3" s="333">
        <v>12.85</v>
      </c>
      <c r="L3" s="333">
        <v>14.25</v>
      </c>
      <c r="M3" s="333">
        <v>15.58</v>
      </c>
      <c r="N3" s="333">
        <v>16.82</v>
      </c>
      <c r="O3" s="333"/>
      <c r="P3" s="333"/>
      <c r="Q3" s="333" t="s">
        <v>282</v>
      </c>
      <c r="R3" s="333" t="s">
        <v>92</v>
      </c>
      <c r="S3" s="333">
        <v>2.13</v>
      </c>
      <c r="T3" s="333">
        <v>2.2999999999999998</v>
      </c>
      <c r="U3" s="333">
        <v>2.69</v>
      </c>
      <c r="V3" s="333">
        <v>2.95</v>
      </c>
      <c r="W3" s="333">
        <v>3.31</v>
      </c>
      <c r="X3" s="333">
        <v>3.83</v>
      </c>
      <c r="Y3" s="333">
        <v>4.3600000000000003</v>
      </c>
      <c r="Z3" s="333">
        <v>4.82</v>
      </c>
      <c r="AA3" s="333">
        <v>5.36</v>
      </c>
      <c r="AB3" s="333">
        <v>5.94</v>
      </c>
      <c r="AC3" s="333">
        <v>6.49</v>
      </c>
      <c r="AD3" s="333">
        <v>7.01</v>
      </c>
    </row>
    <row r="4" spans="1:30">
      <c r="A4" s="285" t="s">
        <v>283</v>
      </c>
      <c r="B4" s="285" t="s">
        <v>92</v>
      </c>
      <c r="C4" s="334">
        <v>0.55000000000000004</v>
      </c>
      <c r="D4" s="334">
        <v>0.56999999999999995</v>
      </c>
      <c r="E4" s="334">
        <v>0.6</v>
      </c>
      <c r="F4" s="334">
        <v>0.64</v>
      </c>
      <c r="G4" s="334">
        <v>0.68</v>
      </c>
      <c r="H4" s="334">
        <v>0.73</v>
      </c>
      <c r="I4" s="334">
        <v>0.77</v>
      </c>
      <c r="J4" s="334">
        <v>0.78</v>
      </c>
      <c r="K4" s="334">
        <v>0.79</v>
      </c>
      <c r="L4" s="334">
        <v>0.81</v>
      </c>
      <c r="M4" s="334">
        <v>0.81</v>
      </c>
      <c r="N4" s="334">
        <v>0.81</v>
      </c>
      <c r="O4" s="333"/>
      <c r="P4" s="333"/>
      <c r="Q4" s="334" t="s">
        <v>283</v>
      </c>
      <c r="R4" s="334" t="s">
        <v>92</v>
      </c>
      <c r="S4" s="334">
        <v>0.23</v>
      </c>
      <c r="T4" s="334">
        <v>0.24</v>
      </c>
      <c r="U4" s="334">
        <v>0.25</v>
      </c>
      <c r="V4" s="334">
        <v>0.27</v>
      </c>
      <c r="W4" s="334">
        <v>0.28999999999999998</v>
      </c>
      <c r="X4" s="334">
        <v>0.31</v>
      </c>
      <c r="Y4" s="334">
        <v>0.32</v>
      </c>
      <c r="Z4" s="334">
        <v>0.33</v>
      </c>
      <c r="AA4" s="334">
        <v>0.33</v>
      </c>
      <c r="AB4" s="334">
        <v>0.34</v>
      </c>
      <c r="AC4" s="334">
        <v>0.34</v>
      </c>
      <c r="AD4" s="334">
        <v>0.34</v>
      </c>
    </row>
    <row r="5" spans="1:30">
      <c r="A5" s="282" t="s">
        <v>284</v>
      </c>
      <c r="B5" s="282" t="s">
        <v>92</v>
      </c>
      <c r="C5" s="333">
        <v>1.38</v>
      </c>
      <c r="D5" s="333">
        <v>1.42</v>
      </c>
      <c r="E5" s="333">
        <v>1.5</v>
      </c>
      <c r="F5" s="333">
        <v>1.6</v>
      </c>
      <c r="G5" s="333">
        <v>1.7</v>
      </c>
      <c r="H5" s="333">
        <v>1.83</v>
      </c>
      <c r="I5" s="333">
        <v>1.92</v>
      </c>
      <c r="J5" s="333">
        <v>1.95</v>
      </c>
      <c r="K5" s="333">
        <v>1.99</v>
      </c>
      <c r="L5" s="333">
        <v>2.02</v>
      </c>
      <c r="M5" s="333">
        <v>2.0299999999999998</v>
      </c>
      <c r="N5" s="333">
        <v>2.0299999999999998</v>
      </c>
      <c r="O5" s="333"/>
      <c r="P5" s="333"/>
      <c r="Q5" s="333" t="s">
        <v>284</v>
      </c>
      <c r="R5" s="333" t="s">
        <v>92</v>
      </c>
      <c r="S5" s="333">
        <v>0.57999999999999996</v>
      </c>
      <c r="T5" s="333">
        <v>0.6</v>
      </c>
      <c r="U5" s="333">
        <v>0.63</v>
      </c>
      <c r="V5" s="333">
        <v>0.67</v>
      </c>
      <c r="W5" s="333">
        <v>0.72</v>
      </c>
      <c r="X5" s="333">
        <v>0.77</v>
      </c>
      <c r="Y5" s="333">
        <v>0.81</v>
      </c>
      <c r="Z5" s="333">
        <v>0.82</v>
      </c>
      <c r="AA5" s="333">
        <v>0.83</v>
      </c>
      <c r="AB5" s="333">
        <v>0.85</v>
      </c>
      <c r="AC5" s="333">
        <v>0.85</v>
      </c>
      <c r="AD5" s="333">
        <v>0.85</v>
      </c>
    </row>
    <row r="6" spans="1:30">
      <c r="A6" s="285" t="s">
        <v>224</v>
      </c>
      <c r="B6" s="285" t="s">
        <v>92</v>
      </c>
      <c r="C6" s="334">
        <v>0.28999999999999998</v>
      </c>
      <c r="D6" s="334">
        <v>0.3</v>
      </c>
      <c r="E6" s="334">
        <v>0.3</v>
      </c>
      <c r="F6" s="334">
        <v>0.32</v>
      </c>
      <c r="G6" s="334">
        <v>0.34</v>
      </c>
      <c r="H6" s="334">
        <v>0.36</v>
      </c>
      <c r="I6" s="334">
        <v>0.37</v>
      </c>
      <c r="J6" s="334">
        <v>0.36</v>
      </c>
      <c r="K6" s="334">
        <v>0.36</v>
      </c>
      <c r="L6" s="334">
        <v>0.38</v>
      </c>
      <c r="M6" s="334">
        <v>0.38</v>
      </c>
      <c r="N6" s="334">
        <v>0.39</v>
      </c>
      <c r="O6" s="333"/>
      <c r="P6" s="333"/>
      <c r="Q6" s="334" t="s">
        <v>224</v>
      </c>
      <c r="R6" s="334" t="s">
        <v>92</v>
      </c>
      <c r="S6" s="334">
        <v>0.11</v>
      </c>
      <c r="T6" s="334">
        <v>0.12</v>
      </c>
      <c r="U6" s="334">
        <v>0.11</v>
      </c>
      <c r="V6" s="334">
        <v>0.12</v>
      </c>
      <c r="W6" s="334">
        <v>0.13</v>
      </c>
      <c r="X6" s="334">
        <v>0.14000000000000001</v>
      </c>
      <c r="Y6" s="334">
        <v>0.14000000000000001</v>
      </c>
      <c r="Z6" s="334">
        <v>0.14000000000000001</v>
      </c>
      <c r="AA6" s="334">
        <v>0.14000000000000001</v>
      </c>
      <c r="AB6" s="334">
        <v>0.14000000000000001</v>
      </c>
      <c r="AC6" s="334">
        <v>0.15</v>
      </c>
      <c r="AD6" s="334">
        <v>0.15</v>
      </c>
    </row>
    <row r="7" spans="1:30">
      <c r="A7" s="282" t="s">
        <v>223</v>
      </c>
      <c r="B7" s="282" t="s">
        <v>92</v>
      </c>
      <c r="C7" s="333">
        <v>0.18</v>
      </c>
      <c r="D7" s="333">
        <v>0.19</v>
      </c>
      <c r="E7" s="333">
        <v>0.21</v>
      </c>
      <c r="F7" s="333">
        <v>0.24</v>
      </c>
      <c r="G7" s="333">
        <v>0.27</v>
      </c>
      <c r="H7" s="333">
        <v>0.32</v>
      </c>
      <c r="I7" s="333">
        <v>0.37</v>
      </c>
      <c r="J7" s="333">
        <v>0.42</v>
      </c>
      <c r="K7" s="333">
        <v>0.47</v>
      </c>
      <c r="L7" s="333">
        <v>0.52</v>
      </c>
      <c r="M7" s="333">
        <v>0.57999999999999996</v>
      </c>
      <c r="N7" s="333">
        <v>0.63</v>
      </c>
      <c r="O7" s="333"/>
      <c r="P7" s="333"/>
      <c r="Q7" s="333" t="s">
        <v>223</v>
      </c>
      <c r="R7" s="333" t="s">
        <v>92</v>
      </c>
      <c r="S7" s="333">
        <v>0.09</v>
      </c>
      <c r="T7" s="333">
        <v>0.09</v>
      </c>
      <c r="U7" s="333">
        <v>0.1</v>
      </c>
      <c r="V7" s="333">
        <v>0.11</v>
      </c>
      <c r="W7" s="333">
        <v>0.13</v>
      </c>
      <c r="X7" s="333">
        <v>0.15</v>
      </c>
      <c r="Y7" s="333">
        <v>0.18</v>
      </c>
      <c r="Z7" s="333">
        <v>0.2</v>
      </c>
      <c r="AA7" s="333">
        <v>0.22</v>
      </c>
      <c r="AB7" s="333">
        <v>0.25</v>
      </c>
      <c r="AC7" s="333">
        <v>0.28000000000000003</v>
      </c>
      <c r="AD7" s="333">
        <v>0.3</v>
      </c>
    </row>
    <row r="8" spans="1:30">
      <c r="A8" s="285" t="s">
        <v>285</v>
      </c>
      <c r="B8" s="285" t="s">
        <v>40</v>
      </c>
      <c r="C8" s="334">
        <v>2</v>
      </c>
      <c r="D8" s="334">
        <v>1.4</v>
      </c>
      <c r="E8" s="334">
        <v>1.22</v>
      </c>
      <c r="F8" s="334">
        <v>1.23</v>
      </c>
      <c r="G8" s="334">
        <v>1.29</v>
      </c>
      <c r="H8" s="334">
        <v>1.39</v>
      </c>
      <c r="I8" s="334">
        <v>1.49</v>
      </c>
      <c r="J8" s="334">
        <v>1.59</v>
      </c>
      <c r="K8" s="334">
        <v>1.68</v>
      </c>
      <c r="L8" s="334">
        <v>1.75</v>
      </c>
      <c r="M8" s="334">
        <v>1.82</v>
      </c>
      <c r="N8" s="334">
        <v>1.89</v>
      </c>
      <c r="O8" s="333"/>
      <c r="P8" s="333"/>
      <c r="Q8" s="334" t="s">
        <v>285</v>
      </c>
      <c r="R8" s="334" t="s">
        <v>40</v>
      </c>
      <c r="S8" s="334">
        <v>3.86</v>
      </c>
      <c r="T8" s="334">
        <v>2.71</v>
      </c>
      <c r="U8" s="334">
        <v>2.4</v>
      </c>
      <c r="V8" s="334">
        <v>2.4900000000000002</v>
      </c>
      <c r="W8" s="334">
        <v>2.59</v>
      </c>
      <c r="X8" s="334">
        <v>2.68</v>
      </c>
      <c r="Y8" s="334">
        <v>2.78</v>
      </c>
      <c r="Z8" s="334">
        <v>2.89</v>
      </c>
      <c r="AA8" s="334">
        <v>3</v>
      </c>
      <c r="AB8" s="334">
        <v>3.11</v>
      </c>
      <c r="AC8" s="334">
        <v>3.22</v>
      </c>
      <c r="AD8" s="334">
        <v>3.34</v>
      </c>
    </row>
    <row r="9" spans="1:30">
      <c r="A9" s="282" t="s">
        <v>286</v>
      </c>
      <c r="B9" s="282" t="s">
        <v>40</v>
      </c>
      <c r="C9" s="333">
        <v>9.6999999999999993</v>
      </c>
      <c r="D9" s="333">
        <v>8.8000000000000007</v>
      </c>
      <c r="E9" s="333">
        <v>9.18</v>
      </c>
      <c r="F9" s="333">
        <v>9.76</v>
      </c>
      <c r="G9" s="333">
        <v>10.68</v>
      </c>
      <c r="H9" s="333">
        <v>12.03</v>
      </c>
      <c r="I9" s="333">
        <v>13.76</v>
      </c>
      <c r="J9" s="333">
        <v>14.85</v>
      </c>
      <c r="K9" s="333">
        <v>15.95</v>
      </c>
      <c r="L9" s="333">
        <v>16.8</v>
      </c>
      <c r="M9" s="333">
        <v>17.690000000000001</v>
      </c>
      <c r="N9" s="333">
        <v>18.63</v>
      </c>
      <c r="O9" s="333"/>
      <c r="P9" s="333"/>
      <c r="Q9" s="333" t="s">
        <v>286</v>
      </c>
      <c r="R9" s="333" t="s">
        <v>40</v>
      </c>
      <c r="S9" s="333">
        <v>2.71</v>
      </c>
      <c r="T9" s="333">
        <v>2.46</v>
      </c>
      <c r="U9" s="333">
        <v>2.56</v>
      </c>
      <c r="V9" s="333">
        <v>2.73</v>
      </c>
      <c r="W9" s="333">
        <v>2.98</v>
      </c>
      <c r="X9" s="333">
        <v>3.36</v>
      </c>
      <c r="Y9" s="333">
        <v>3.84</v>
      </c>
      <c r="Z9" s="333">
        <v>4.1500000000000004</v>
      </c>
      <c r="AA9" s="333">
        <v>4.45</v>
      </c>
      <c r="AB9" s="333">
        <v>4.6900000000000004</v>
      </c>
      <c r="AC9" s="333">
        <v>4.9400000000000004</v>
      </c>
      <c r="AD9" s="333">
        <v>5.2</v>
      </c>
    </row>
    <row r="10" spans="1:30">
      <c r="A10" s="285" t="s">
        <v>287</v>
      </c>
      <c r="B10" s="285" t="s">
        <v>40</v>
      </c>
      <c r="C10" s="334">
        <v>8.19</v>
      </c>
      <c r="D10" s="334">
        <v>8.9600000000000009</v>
      </c>
      <c r="E10" s="334">
        <v>10.71</v>
      </c>
      <c r="F10" s="334">
        <v>11.6</v>
      </c>
      <c r="G10" s="334">
        <v>13.23</v>
      </c>
      <c r="H10" s="334">
        <v>15.55</v>
      </c>
      <c r="I10" s="334">
        <v>18.12</v>
      </c>
      <c r="J10" s="334">
        <v>19.97</v>
      </c>
      <c r="K10" s="334">
        <v>22.05</v>
      </c>
      <c r="L10" s="334">
        <v>24.35</v>
      </c>
      <c r="M10" s="334">
        <v>25.42</v>
      </c>
      <c r="N10" s="334">
        <v>26.53</v>
      </c>
      <c r="O10" s="333"/>
      <c r="P10" s="333"/>
      <c r="Q10" s="334" t="s">
        <v>287</v>
      </c>
      <c r="R10" s="334" t="s">
        <v>40</v>
      </c>
      <c r="S10" s="334">
        <v>4.22</v>
      </c>
      <c r="T10" s="334">
        <v>4.62</v>
      </c>
      <c r="U10" s="334">
        <v>5.52</v>
      </c>
      <c r="V10" s="334">
        <v>5.97</v>
      </c>
      <c r="W10" s="334">
        <v>6.82</v>
      </c>
      <c r="X10" s="334">
        <v>8.01</v>
      </c>
      <c r="Y10" s="334">
        <v>9.33</v>
      </c>
      <c r="Z10" s="334">
        <v>10.29</v>
      </c>
      <c r="AA10" s="334">
        <v>11.36</v>
      </c>
      <c r="AB10" s="334">
        <v>12.54</v>
      </c>
      <c r="AC10" s="334">
        <v>13.09</v>
      </c>
      <c r="AD10" s="334">
        <v>13.67</v>
      </c>
    </row>
    <row r="11" spans="1:30">
      <c r="A11" s="282" t="s">
        <v>288</v>
      </c>
      <c r="B11" s="282" t="s">
        <v>40</v>
      </c>
      <c r="C11" s="333">
        <v>32.29</v>
      </c>
      <c r="D11" s="333">
        <v>38.85</v>
      </c>
      <c r="E11" s="333">
        <v>45.72</v>
      </c>
      <c r="F11" s="333">
        <v>49.43</v>
      </c>
      <c r="G11" s="333">
        <v>56.09</v>
      </c>
      <c r="H11" s="333">
        <v>66.39</v>
      </c>
      <c r="I11" s="333">
        <v>78.2</v>
      </c>
      <c r="J11" s="333">
        <v>86.85</v>
      </c>
      <c r="K11" s="333">
        <v>96.66</v>
      </c>
      <c r="L11" s="333">
        <v>107.57</v>
      </c>
      <c r="M11" s="333">
        <v>112.82</v>
      </c>
      <c r="N11" s="333">
        <v>118.33</v>
      </c>
      <c r="O11" s="333"/>
      <c r="P11" s="333"/>
      <c r="Q11" s="333" t="s">
        <v>288</v>
      </c>
      <c r="R11" s="333" t="s">
        <v>40</v>
      </c>
      <c r="S11" s="333">
        <v>8.07</v>
      </c>
      <c r="T11" s="333">
        <v>9.7100000000000009</v>
      </c>
      <c r="U11" s="333">
        <v>11.43</v>
      </c>
      <c r="V11" s="333">
        <v>12.36</v>
      </c>
      <c r="W11" s="333">
        <v>14.02</v>
      </c>
      <c r="X11" s="333">
        <v>16.600000000000001</v>
      </c>
      <c r="Y11" s="333">
        <v>19.55</v>
      </c>
      <c r="Z11" s="333">
        <v>21.71</v>
      </c>
      <c r="AA11" s="333">
        <v>24.16</v>
      </c>
      <c r="AB11" s="333">
        <v>26.89</v>
      </c>
      <c r="AC11" s="333">
        <v>28.21</v>
      </c>
      <c r="AD11" s="333">
        <v>29.58</v>
      </c>
    </row>
    <row r="12" spans="1:30">
      <c r="A12" s="285" t="s">
        <v>289</v>
      </c>
      <c r="B12" s="285" t="s">
        <v>40</v>
      </c>
      <c r="C12" s="334">
        <v>1.37</v>
      </c>
      <c r="D12" s="334">
        <v>1.27</v>
      </c>
      <c r="E12" s="334">
        <v>1.17</v>
      </c>
      <c r="F12" s="334">
        <v>1.25</v>
      </c>
      <c r="G12" s="334">
        <v>1.32</v>
      </c>
      <c r="H12" s="334">
        <v>1.4</v>
      </c>
      <c r="I12" s="334">
        <v>1.46</v>
      </c>
      <c r="J12" s="334">
        <v>1.5</v>
      </c>
      <c r="K12" s="334">
        <v>1.54</v>
      </c>
      <c r="L12" s="334">
        <v>1.59</v>
      </c>
      <c r="M12" s="334">
        <v>1.63</v>
      </c>
      <c r="N12" s="334">
        <v>1.68</v>
      </c>
      <c r="O12" s="333"/>
      <c r="P12" s="333"/>
      <c r="Q12" s="334" t="s">
        <v>289</v>
      </c>
      <c r="R12" s="334" t="s">
        <v>40</v>
      </c>
      <c r="S12" s="334">
        <v>0.48</v>
      </c>
      <c r="T12" s="334">
        <v>0.45</v>
      </c>
      <c r="U12" s="334">
        <v>0.41</v>
      </c>
      <c r="V12" s="334">
        <v>0.4</v>
      </c>
      <c r="W12" s="334">
        <v>0.41</v>
      </c>
      <c r="X12" s="334">
        <v>0.44</v>
      </c>
      <c r="Y12" s="334">
        <v>0.46</v>
      </c>
      <c r="Z12" s="334">
        <v>0.48</v>
      </c>
      <c r="AA12" s="334">
        <v>0.49</v>
      </c>
      <c r="AB12" s="334">
        <v>0.5</v>
      </c>
      <c r="AC12" s="334">
        <v>0.5</v>
      </c>
      <c r="AD12" s="334">
        <v>0.51</v>
      </c>
    </row>
    <row r="13" spans="1:30">
      <c r="A13" s="282" t="s">
        <v>290</v>
      </c>
      <c r="B13" s="282" t="s">
        <v>40</v>
      </c>
      <c r="C13" s="333">
        <v>0.6</v>
      </c>
      <c r="D13" s="333">
        <v>0.33</v>
      </c>
      <c r="E13" s="333">
        <v>0.35</v>
      </c>
      <c r="F13" s="333">
        <v>0.43</v>
      </c>
      <c r="G13" s="333">
        <v>0.63</v>
      </c>
      <c r="H13" s="333">
        <v>0.91</v>
      </c>
      <c r="I13" s="333">
        <v>1.1000000000000001</v>
      </c>
      <c r="J13" s="333">
        <v>1.21</v>
      </c>
      <c r="K13" s="333">
        <v>1.32</v>
      </c>
      <c r="L13" s="333">
        <v>1.45</v>
      </c>
      <c r="M13" s="333">
        <v>1.59</v>
      </c>
      <c r="N13" s="333">
        <v>1.73</v>
      </c>
      <c r="O13" s="333"/>
      <c r="P13" s="333"/>
      <c r="Q13" s="333" t="s">
        <v>290</v>
      </c>
      <c r="R13" s="333" t="s">
        <v>40</v>
      </c>
      <c r="S13" s="333">
        <v>0</v>
      </c>
      <c r="T13" s="333">
        <v>0</v>
      </c>
      <c r="U13" s="333">
        <v>0</v>
      </c>
      <c r="V13" s="333">
        <v>0</v>
      </c>
      <c r="W13" s="333">
        <v>0</v>
      </c>
      <c r="X13" s="333">
        <v>0</v>
      </c>
      <c r="Y13" s="333">
        <v>0</v>
      </c>
      <c r="Z13" s="333">
        <v>0</v>
      </c>
      <c r="AA13" s="333">
        <v>0</v>
      </c>
      <c r="AB13" s="333">
        <v>0</v>
      </c>
      <c r="AC13" s="333">
        <v>0</v>
      </c>
      <c r="AD13" s="333">
        <v>0</v>
      </c>
    </row>
    <row r="14" spans="1:30">
      <c r="A14" s="285"/>
      <c r="B14" s="285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4"/>
      <c r="O14" s="333"/>
      <c r="P14" s="333"/>
      <c r="Q14" s="334"/>
      <c r="R14" s="334"/>
      <c r="S14" s="334"/>
      <c r="T14" s="334"/>
      <c r="U14" s="334"/>
      <c r="V14" s="334"/>
      <c r="W14" s="334"/>
      <c r="X14" s="334"/>
      <c r="Y14" s="334"/>
      <c r="Z14" s="334"/>
      <c r="AA14" s="334"/>
      <c r="AB14" s="334"/>
      <c r="AC14" s="334"/>
      <c r="AD14" s="334"/>
    </row>
    <row r="15" spans="1:30">
      <c r="A15" s="280" t="s">
        <v>278</v>
      </c>
      <c r="B15" s="281" t="s">
        <v>291</v>
      </c>
      <c r="C15" s="335">
        <v>2015</v>
      </c>
      <c r="D15" s="335">
        <v>2016</v>
      </c>
      <c r="E15" s="335">
        <v>2018</v>
      </c>
      <c r="F15" s="335">
        <v>2021</v>
      </c>
      <c r="G15" s="335">
        <v>2025</v>
      </c>
      <c r="H15" s="335">
        <v>2030</v>
      </c>
      <c r="I15" s="335">
        <v>2035</v>
      </c>
      <c r="J15" s="335">
        <v>2040</v>
      </c>
      <c r="K15" s="335">
        <v>2045</v>
      </c>
      <c r="L15" s="335">
        <v>2050</v>
      </c>
      <c r="M15" s="335">
        <v>2055</v>
      </c>
      <c r="N15" s="335">
        <v>2060</v>
      </c>
      <c r="O15" s="333"/>
      <c r="P15" s="333"/>
      <c r="Q15" s="337" t="s">
        <v>280</v>
      </c>
      <c r="R15" s="338" t="s">
        <v>291</v>
      </c>
      <c r="S15" s="336">
        <v>2015</v>
      </c>
      <c r="T15" s="336">
        <v>2016</v>
      </c>
      <c r="U15" s="336">
        <v>2018</v>
      </c>
      <c r="V15" s="336">
        <v>2021</v>
      </c>
      <c r="W15" s="336">
        <v>2025</v>
      </c>
      <c r="X15" s="336">
        <v>2030</v>
      </c>
      <c r="Y15" s="336">
        <v>2035</v>
      </c>
      <c r="Z15" s="336">
        <v>2040</v>
      </c>
      <c r="AA15" s="336">
        <v>2045</v>
      </c>
      <c r="AB15" s="336">
        <v>2050</v>
      </c>
      <c r="AC15" s="336">
        <v>2055</v>
      </c>
      <c r="AD15" s="336">
        <v>2060</v>
      </c>
    </row>
    <row r="16" spans="1:30">
      <c r="A16" s="285" t="s">
        <v>281</v>
      </c>
      <c r="B16" s="285" t="s">
        <v>92</v>
      </c>
      <c r="C16" s="334">
        <v>24.17</v>
      </c>
      <c r="D16" s="334">
        <v>25.19</v>
      </c>
      <c r="E16" s="334">
        <v>26.5</v>
      </c>
      <c r="F16" s="334">
        <v>26.42</v>
      </c>
      <c r="G16" s="334">
        <v>26.64</v>
      </c>
      <c r="H16" s="334">
        <v>27.36</v>
      </c>
      <c r="I16" s="334">
        <v>28.07</v>
      </c>
      <c r="J16" s="334">
        <v>29.04</v>
      </c>
      <c r="K16" s="334">
        <v>29.98</v>
      </c>
      <c r="L16" s="334">
        <v>31.13</v>
      </c>
      <c r="M16" s="334">
        <v>33.11</v>
      </c>
      <c r="N16" s="334">
        <v>35.08</v>
      </c>
      <c r="O16" s="333"/>
      <c r="P16" s="333"/>
      <c r="Q16" s="334" t="s">
        <v>281</v>
      </c>
      <c r="R16" s="334" t="s">
        <v>92</v>
      </c>
      <c r="S16" s="334">
        <v>8.43</v>
      </c>
      <c r="T16" s="334">
        <v>8.7899999999999991</v>
      </c>
      <c r="U16" s="334">
        <v>9.24</v>
      </c>
      <c r="V16" s="334">
        <v>9.2200000000000006</v>
      </c>
      <c r="W16" s="334">
        <v>9.2899999999999991</v>
      </c>
      <c r="X16" s="334">
        <v>9.5500000000000007</v>
      </c>
      <c r="Y16" s="334">
        <v>9.7899999999999991</v>
      </c>
      <c r="Z16" s="334">
        <v>10.130000000000001</v>
      </c>
      <c r="AA16" s="334">
        <v>10.46</v>
      </c>
      <c r="AB16" s="334">
        <v>10.86</v>
      </c>
      <c r="AC16" s="334">
        <v>11.55</v>
      </c>
      <c r="AD16" s="334">
        <v>12.24</v>
      </c>
    </row>
    <row r="17" spans="1:30">
      <c r="A17" s="282" t="s">
        <v>282</v>
      </c>
      <c r="B17" s="282" t="s">
        <v>92</v>
      </c>
      <c r="C17" s="333">
        <v>5.12</v>
      </c>
      <c r="D17" s="333">
        <v>5.53</v>
      </c>
      <c r="E17" s="333">
        <v>6.45</v>
      </c>
      <c r="F17" s="333">
        <v>6.74</v>
      </c>
      <c r="G17" s="333">
        <v>7.03</v>
      </c>
      <c r="H17" s="333">
        <v>7.45</v>
      </c>
      <c r="I17" s="333">
        <v>7.89</v>
      </c>
      <c r="J17" s="333">
        <v>8.43</v>
      </c>
      <c r="K17" s="333">
        <v>9.01</v>
      </c>
      <c r="L17" s="333">
        <v>9.66</v>
      </c>
      <c r="M17" s="333">
        <v>10.58</v>
      </c>
      <c r="N17" s="333">
        <v>11.51</v>
      </c>
      <c r="O17" s="333"/>
      <c r="P17" s="333"/>
      <c r="Q17" s="333" t="s">
        <v>282</v>
      </c>
      <c r="R17" s="333" t="s">
        <v>92</v>
      </c>
      <c r="S17" s="333">
        <v>2.13</v>
      </c>
      <c r="T17" s="333">
        <v>2.2999999999999998</v>
      </c>
      <c r="U17" s="333">
        <v>2.69</v>
      </c>
      <c r="V17" s="333">
        <v>2.81</v>
      </c>
      <c r="W17" s="333">
        <v>2.93</v>
      </c>
      <c r="X17" s="333">
        <v>3.11</v>
      </c>
      <c r="Y17" s="333">
        <v>3.29</v>
      </c>
      <c r="Z17" s="333">
        <v>3.52</v>
      </c>
      <c r="AA17" s="333">
        <v>3.75</v>
      </c>
      <c r="AB17" s="333">
        <v>4.03</v>
      </c>
      <c r="AC17" s="333">
        <v>4.41</v>
      </c>
      <c r="AD17" s="333">
        <v>4.8</v>
      </c>
    </row>
    <row r="18" spans="1:30">
      <c r="A18" s="285" t="s">
        <v>283</v>
      </c>
      <c r="B18" s="285" t="s">
        <v>92</v>
      </c>
      <c r="C18" s="334">
        <v>0.55000000000000004</v>
      </c>
      <c r="D18" s="334">
        <v>0.56999999999999995</v>
      </c>
      <c r="E18" s="334">
        <v>0.6</v>
      </c>
      <c r="F18" s="334">
        <v>0.63</v>
      </c>
      <c r="G18" s="334">
        <v>0.65</v>
      </c>
      <c r="H18" s="334">
        <v>0.66</v>
      </c>
      <c r="I18" s="334">
        <v>0.67</v>
      </c>
      <c r="J18" s="334">
        <v>0.67</v>
      </c>
      <c r="K18" s="334">
        <v>0.68</v>
      </c>
      <c r="L18" s="334">
        <v>0.69</v>
      </c>
      <c r="M18" s="334">
        <v>0.72</v>
      </c>
      <c r="N18" s="334">
        <v>0.75</v>
      </c>
      <c r="O18" s="333"/>
      <c r="P18" s="333"/>
      <c r="Q18" s="334" t="s">
        <v>283</v>
      </c>
      <c r="R18" s="334" t="s">
        <v>92</v>
      </c>
      <c r="S18" s="334">
        <v>0.23</v>
      </c>
      <c r="T18" s="334">
        <v>0.24</v>
      </c>
      <c r="U18" s="334">
        <v>0.25</v>
      </c>
      <c r="V18" s="334">
        <v>0.27</v>
      </c>
      <c r="W18" s="334">
        <v>0.27</v>
      </c>
      <c r="X18" s="334">
        <v>0.28000000000000003</v>
      </c>
      <c r="Y18" s="334">
        <v>0.28000000000000003</v>
      </c>
      <c r="Z18" s="334">
        <v>0.28000000000000003</v>
      </c>
      <c r="AA18" s="334">
        <v>0.28000000000000003</v>
      </c>
      <c r="AB18" s="334">
        <v>0.28999999999999998</v>
      </c>
      <c r="AC18" s="334">
        <v>0.3</v>
      </c>
      <c r="AD18" s="334">
        <v>0.31</v>
      </c>
    </row>
    <row r="19" spans="1:30">
      <c r="A19" s="282" t="s">
        <v>284</v>
      </c>
      <c r="B19" s="282" t="s">
        <v>92</v>
      </c>
      <c r="C19" s="333">
        <v>1.38</v>
      </c>
      <c r="D19" s="333">
        <v>1.42</v>
      </c>
      <c r="E19" s="333">
        <v>1.5</v>
      </c>
      <c r="F19" s="333">
        <v>1.58</v>
      </c>
      <c r="G19" s="333">
        <v>1.62</v>
      </c>
      <c r="H19" s="333">
        <v>1.66</v>
      </c>
      <c r="I19" s="333">
        <v>1.67</v>
      </c>
      <c r="J19" s="333">
        <v>1.69</v>
      </c>
      <c r="K19" s="333">
        <v>1.7</v>
      </c>
      <c r="L19" s="333">
        <v>1.73</v>
      </c>
      <c r="M19" s="333">
        <v>1.8</v>
      </c>
      <c r="N19" s="333">
        <v>1.87</v>
      </c>
      <c r="O19" s="333"/>
      <c r="P19" s="333"/>
      <c r="Q19" s="333" t="s">
        <v>284</v>
      </c>
      <c r="R19" s="333" t="s">
        <v>92</v>
      </c>
      <c r="S19" s="333">
        <v>0.57999999999999996</v>
      </c>
      <c r="T19" s="333">
        <v>0.6</v>
      </c>
      <c r="U19" s="333">
        <v>0.63</v>
      </c>
      <c r="V19" s="333">
        <v>0.66</v>
      </c>
      <c r="W19" s="333">
        <v>0.68</v>
      </c>
      <c r="X19" s="333">
        <v>0.69</v>
      </c>
      <c r="Y19" s="333">
        <v>0.7</v>
      </c>
      <c r="Z19" s="333">
        <v>0.71</v>
      </c>
      <c r="AA19" s="333">
        <v>0.71</v>
      </c>
      <c r="AB19" s="333">
        <v>0.73</v>
      </c>
      <c r="AC19" s="333">
        <v>0.76</v>
      </c>
      <c r="AD19" s="333">
        <v>0.78</v>
      </c>
    </row>
    <row r="20" spans="1:30">
      <c r="A20" s="285" t="s">
        <v>224</v>
      </c>
      <c r="B20" s="285" t="s">
        <v>92</v>
      </c>
      <c r="C20" s="334">
        <v>0.28999999999999998</v>
      </c>
      <c r="D20" s="334">
        <v>0.3</v>
      </c>
      <c r="E20" s="334">
        <v>0.3</v>
      </c>
      <c r="F20" s="334">
        <v>0.31</v>
      </c>
      <c r="G20" s="334">
        <v>0.31</v>
      </c>
      <c r="H20" s="334">
        <v>0.31</v>
      </c>
      <c r="I20" s="334">
        <v>0.31</v>
      </c>
      <c r="J20" s="334">
        <v>0.31</v>
      </c>
      <c r="K20" s="334">
        <v>0.31</v>
      </c>
      <c r="L20" s="334">
        <v>0.32</v>
      </c>
      <c r="M20" s="334">
        <v>0.33</v>
      </c>
      <c r="N20" s="334">
        <v>0.35</v>
      </c>
      <c r="O20" s="333"/>
      <c r="P20" s="333"/>
      <c r="Q20" s="334" t="s">
        <v>224</v>
      </c>
      <c r="R20" s="334" t="s">
        <v>92</v>
      </c>
      <c r="S20" s="334">
        <v>0.11</v>
      </c>
      <c r="T20" s="334">
        <v>0.12</v>
      </c>
      <c r="U20" s="334">
        <v>0.11</v>
      </c>
      <c r="V20" s="334">
        <v>0.12</v>
      </c>
      <c r="W20" s="334">
        <v>0.12</v>
      </c>
      <c r="X20" s="334">
        <v>0.12</v>
      </c>
      <c r="Y20" s="334">
        <v>0.12</v>
      </c>
      <c r="Z20" s="334">
        <v>0.12</v>
      </c>
      <c r="AA20" s="334">
        <v>0.12</v>
      </c>
      <c r="AB20" s="334">
        <v>0.12</v>
      </c>
      <c r="AC20" s="334">
        <v>0.13</v>
      </c>
      <c r="AD20" s="334">
        <v>0.13</v>
      </c>
    </row>
    <row r="21" spans="1:30">
      <c r="A21" s="282" t="s">
        <v>223</v>
      </c>
      <c r="B21" s="282" t="s">
        <v>92</v>
      </c>
      <c r="C21" s="333">
        <v>0.18</v>
      </c>
      <c r="D21" s="333">
        <v>0.19</v>
      </c>
      <c r="E21" s="333">
        <v>0.21</v>
      </c>
      <c r="F21" s="333">
        <v>0.32</v>
      </c>
      <c r="G21" s="333">
        <v>0.38</v>
      </c>
      <c r="H21" s="333">
        <v>0.42</v>
      </c>
      <c r="I21" s="333">
        <v>0.46</v>
      </c>
      <c r="J21" s="333">
        <v>0.5</v>
      </c>
      <c r="K21" s="333">
        <v>0.55000000000000004</v>
      </c>
      <c r="L21" s="333">
        <v>0.61</v>
      </c>
      <c r="M21" s="333">
        <v>0.69</v>
      </c>
      <c r="N21" s="333">
        <v>0.77</v>
      </c>
      <c r="O21" s="333"/>
      <c r="P21" s="333"/>
      <c r="Q21" s="333" t="s">
        <v>223</v>
      </c>
      <c r="R21" s="333" t="s">
        <v>92</v>
      </c>
      <c r="S21" s="333">
        <v>0.09</v>
      </c>
      <c r="T21" s="333">
        <v>0.09</v>
      </c>
      <c r="U21" s="333">
        <v>0.1</v>
      </c>
      <c r="V21" s="333">
        <v>0.15</v>
      </c>
      <c r="W21" s="333">
        <v>0.18</v>
      </c>
      <c r="X21" s="333">
        <v>0.2</v>
      </c>
      <c r="Y21" s="333">
        <v>0.22</v>
      </c>
      <c r="Z21" s="333">
        <v>0.24</v>
      </c>
      <c r="AA21" s="333">
        <v>0.26</v>
      </c>
      <c r="AB21" s="333">
        <v>0.28999999999999998</v>
      </c>
      <c r="AC21" s="333">
        <v>0.33</v>
      </c>
      <c r="AD21" s="333">
        <v>0.37</v>
      </c>
    </row>
    <row r="22" spans="1:30">
      <c r="A22" s="285" t="s">
        <v>285</v>
      </c>
      <c r="B22" s="285" t="s">
        <v>40</v>
      </c>
      <c r="C22" s="334">
        <v>2</v>
      </c>
      <c r="D22" s="334">
        <v>1.4</v>
      </c>
      <c r="E22" s="334">
        <v>1.22</v>
      </c>
      <c r="F22" s="334">
        <v>1.21</v>
      </c>
      <c r="G22" s="334">
        <v>1.24</v>
      </c>
      <c r="H22" s="334">
        <v>1.29</v>
      </c>
      <c r="I22" s="334">
        <v>1.36</v>
      </c>
      <c r="J22" s="334">
        <v>1.45</v>
      </c>
      <c r="K22" s="334">
        <v>1.54</v>
      </c>
      <c r="L22" s="334">
        <v>1.64</v>
      </c>
      <c r="M22" s="334">
        <v>1.73</v>
      </c>
      <c r="N22" s="334">
        <v>1.83</v>
      </c>
      <c r="O22" s="333"/>
      <c r="P22" s="333"/>
      <c r="Q22" s="334" t="s">
        <v>285</v>
      </c>
      <c r="R22" s="334" t="s">
        <v>40</v>
      </c>
      <c r="S22" s="334">
        <v>3.86</v>
      </c>
      <c r="T22" s="334">
        <v>2.71</v>
      </c>
      <c r="U22" s="334">
        <v>2.4</v>
      </c>
      <c r="V22" s="334">
        <v>2.5</v>
      </c>
      <c r="W22" s="334">
        <v>2.58</v>
      </c>
      <c r="X22" s="334">
        <v>2.66</v>
      </c>
      <c r="Y22" s="334">
        <v>2.77</v>
      </c>
      <c r="Z22" s="334">
        <v>2.91</v>
      </c>
      <c r="AA22" s="334">
        <v>3.02</v>
      </c>
      <c r="AB22" s="334">
        <v>3.1</v>
      </c>
      <c r="AC22" s="334">
        <v>3.19</v>
      </c>
      <c r="AD22" s="334">
        <v>3.28</v>
      </c>
    </row>
    <row r="23" spans="1:30">
      <c r="A23" s="282" t="s">
        <v>286</v>
      </c>
      <c r="B23" s="282" t="s">
        <v>40</v>
      </c>
      <c r="C23" s="333">
        <v>9.6999999999999993</v>
      </c>
      <c r="D23" s="333">
        <v>8.8000000000000007</v>
      </c>
      <c r="E23" s="333">
        <v>9.18</v>
      </c>
      <c r="F23" s="333">
        <v>8.8699999999999992</v>
      </c>
      <c r="G23" s="333">
        <v>8.43</v>
      </c>
      <c r="H23" s="333">
        <v>8.07</v>
      </c>
      <c r="I23" s="333">
        <v>8.32</v>
      </c>
      <c r="J23" s="333">
        <v>8.7100000000000009</v>
      </c>
      <c r="K23" s="333">
        <v>9.66</v>
      </c>
      <c r="L23" s="333">
        <v>10.72</v>
      </c>
      <c r="M23" s="333">
        <v>11.89</v>
      </c>
      <c r="N23" s="333">
        <v>13.18</v>
      </c>
      <c r="O23" s="333"/>
      <c r="P23" s="333"/>
      <c r="Q23" s="333" t="s">
        <v>286</v>
      </c>
      <c r="R23" s="333" t="s">
        <v>40</v>
      </c>
      <c r="S23" s="333">
        <v>2.71</v>
      </c>
      <c r="T23" s="333">
        <v>2.46</v>
      </c>
      <c r="U23" s="333">
        <v>2.56</v>
      </c>
      <c r="V23" s="333">
        <v>2.48</v>
      </c>
      <c r="W23" s="333">
        <v>2.35</v>
      </c>
      <c r="X23" s="333">
        <v>2.25</v>
      </c>
      <c r="Y23" s="333">
        <v>2.3199999999999998</v>
      </c>
      <c r="Z23" s="333">
        <v>2.4300000000000002</v>
      </c>
      <c r="AA23" s="333">
        <v>2.7</v>
      </c>
      <c r="AB23" s="333">
        <v>2.99</v>
      </c>
      <c r="AC23" s="333">
        <v>3.32</v>
      </c>
      <c r="AD23" s="333">
        <v>3.68</v>
      </c>
    </row>
    <row r="24" spans="1:30">
      <c r="A24" s="285" t="s">
        <v>287</v>
      </c>
      <c r="B24" s="285" t="s">
        <v>40</v>
      </c>
      <c r="C24" s="334">
        <v>8.19</v>
      </c>
      <c r="D24" s="334">
        <v>8.9600000000000009</v>
      </c>
      <c r="E24" s="334">
        <v>10.71</v>
      </c>
      <c r="F24" s="334">
        <v>11.2</v>
      </c>
      <c r="G24" s="334">
        <v>12.16</v>
      </c>
      <c r="H24" s="334">
        <v>13.49</v>
      </c>
      <c r="I24" s="334">
        <v>14.03</v>
      </c>
      <c r="J24" s="334">
        <v>14.48</v>
      </c>
      <c r="K24" s="334">
        <v>14.92</v>
      </c>
      <c r="L24" s="334">
        <v>15.07</v>
      </c>
      <c r="M24" s="334">
        <v>15.1</v>
      </c>
      <c r="N24" s="334">
        <v>15.12</v>
      </c>
      <c r="O24" s="333"/>
      <c r="P24" s="333"/>
      <c r="Q24" s="334" t="s">
        <v>287</v>
      </c>
      <c r="R24" s="334" t="s">
        <v>40</v>
      </c>
      <c r="S24" s="334">
        <v>4.22</v>
      </c>
      <c r="T24" s="334">
        <v>4.62</v>
      </c>
      <c r="U24" s="334">
        <v>5.52</v>
      </c>
      <c r="V24" s="334">
        <v>5.77</v>
      </c>
      <c r="W24" s="334">
        <v>6.27</v>
      </c>
      <c r="X24" s="334">
        <v>6.95</v>
      </c>
      <c r="Y24" s="334">
        <v>7.23</v>
      </c>
      <c r="Z24" s="334">
        <v>7.46</v>
      </c>
      <c r="AA24" s="334">
        <v>7.69</v>
      </c>
      <c r="AB24" s="334">
        <v>7.76</v>
      </c>
      <c r="AC24" s="334">
        <v>7.78</v>
      </c>
      <c r="AD24" s="334">
        <v>7.79</v>
      </c>
    </row>
    <row r="25" spans="1:30">
      <c r="A25" s="282" t="s">
        <v>288</v>
      </c>
      <c r="B25" s="282" t="s">
        <v>40</v>
      </c>
      <c r="C25" s="333">
        <v>32.29</v>
      </c>
      <c r="D25" s="333">
        <v>38.85</v>
      </c>
      <c r="E25" s="333">
        <v>45.72</v>
      </c>
      <c r="F25" s="333">
        <v>47.69</v>
      </c>
      <c r="G25" s="333">
        <v>51.59</v>
      </c>
      <c r="H25" s="333">
        <v>57.53</v>
      </c>
      <c r="I25" s="333">
        <v>60.13</v>
      </c>
      <c r="J25" s="333">
        <v>61.68</v>
      </c>
      <c r="K25" s="333">
        <v>63.98</v>
      </c>
      <c r="L25" s="333">
        <v>65.08</v>
      </c>
      <c r="M25" s="333">
        <v>65.650000000000006</v>
      </c>
      <c r="N25" s="333">
        <v>66.23</v>
      </c>
      <c r="O25" s="333"/>
      <c r="P25" s="333"/>
      <c r="Q25" s="333" t="s">
        <v>288</v>
      </c>
      <c r="R25" s="333" t="s">
        <v>40</v>
      </c>
      <c r="S25" s="333">
        <v>8.07</v>
      </c>
      <c r="T25" s="333">
        <v>9.7100000000000009</v>
      </c>
      <c r="U25" s="333">
        <v>11.43</v>
      </c>
      <c r="V25" s="333">
        <v>11.92</v>
      </c>
      <c r="W25" s="333">
        <v>12.9</v>
      </c>
      <c r="X25" s="333">
        <v>14.38</v>
      </c>
      <c r="Y25" s="333">
        <v>15.03</v>
      </c>
      <c r="Z25" s="333">
        <v>15.42</v>
      </c>
      <c r="AA25" s="333">
        <v>15.99</v>
      </c>
      <c r="AB25" s="333">
        <v>16.27</v>
      </c>
      <c r="AC25" s="333">
        <v>16.41</v>
      </c>
      <c r="AD25" s="333">
        <v>16.559999999999999</v>
      </c>
    </row>
    <row r="26" spans="1:30">
      <c r="A26" s="285" t="s">
        <v>289</v>
      </c>
      <c r="B26" s="285" t="s">
        <v>40</v>
      </c>
      <c r="C26" s="334">
        <v>1.37</v>
      </c>
      <c r="D26" s="334">
        <v>1.27</v>
      </c>
      <c r="E26" s="334">
        <v>1.17</v>
      </c>
      <c r="F26" s="334">
        <v>1.24</v>
      </c>
      <c r="G26" s="334">
        <v>1.28</v>
      </c>
      <c r="H26" s="334">
        <v>1.32</v>
      </c>
      <c r="I26" s="334">
        <v>1.36</v>
      </c>
      <c r="J26" s="334">
        <v>1.4</v>
      </c>
      <c r="K26" s="334">
        <v>1.45</v>
      </c>
      <c r="L26" s="334">
        <v>1.52</v>
      </c>
      <c r="M26" s="334">
        <v>1.59</v>
      </c>
      <c r="N26" s="334">
        <v>1.66</v>
      </c>
      <c r="O26" s="333"/>
      <c r="P26" s="333"/>
      <c r="Q26" s="334" t="s">
        <v>289</v>
      </c>
      <c r="R26" s="334" t="s">
        <v>40</v>
      </c>
      <c r="S26" s="334">
        <v>0.48</v>
      </c>
      <c r="T26" s="334">
        <v>0.45</v>
      </c>
      <c r="U26" s="334">
        <v>0.41</v>
      </c>
      <c r="V26" s="334">
        <v>0.4</v>
      </c>
      <c r="W26" s="334">
        <v>0.41</v>
      </c>
      <c r="X26" s="334">
        <v>0.42</v>
      </c>
      <c r="Y26" s="334">
        <v>0.44</v>
      </c>
      <c r="Z26" s="334">
        <v>0.46</v>
      </c>
      <c r="AA26" s="334">
        <v>0.48</v>
      </c>
      <c r="AB26" s="334">
        <v>0.49</v>
      </c>
      <c r="AC26" s="334">
        <v>0.51</v>
      </c>
      <c r="AD26" s="334">
        <v>0.52</v>
      </c>
    </row>
    <row r="27" spans="1:30">
      <c r="A27" s="282" t="s">
        <v>290</v>
      </c>
      <c r="B27" s="282" t="s">
        <v>40</v>
      </c>
      <c r="C27" s="333">
        <v>0.6</v>
      </c>
      <c r="D27" s="333">
        <v>0.33</v>
      </c>
      <c r="E27" s="333">
        <v>0.35</v>
      </c>
      <c r="F27" s="333">
        <v>0.43</v>
      </c>
      <c r="G27" s="333">
        <v>0.82</v>
      </c>
      <c r="H27" s="333">
        <v>1.21</v>
      </c>
      <c r="I27" s="333">
        <v>1.39</v>
      </c>
      <c r="J27" s="333">
        <v>1.51</v>
      </c>
      <c r="K27" s="333">
        <v>1.62</v>
      </c>
      <c r="L27" s="333">
        <v>1.74</v>
      </c>
      <c r="M27" s="333">
        <v>1.92</v>
      </c>
      <c r="N27" s="333">
        <v>2.11</v>
      </c>
      <c r="O27" s="333"/>
      <c r="P27" s="333"/>
      <c r="Q27" s="333" t="s">
        <v>290</v>
      </c>
      <c r="R27" s="333" t="s">
        <v>40</v>
      </c>
      <c r="S27" s="333">
        <v>0</v>
      </c>
      <c r="T27" s="333">
        <v>0</v>
      </c>
      <c r="U27" s="333">
        <v>0</v>
      </c>
      <c r="V27" s="333">
        <v>0</v>
      </c>
      <c r="W27" s="333">
        <v>0</v>
      </c>
      <c r="X27" s="333">
        <v>0</v>
      </c>
      <c r="Y27" s="333">
        <v>0</v>
      </c>
      <c r="Z27" s="333">
        <v>0</v>
      </c>
      <c r="AA27" s="333">
        <v>0</v>
      </c>
      <c r="AB27" s="333">
        <v>0</v>
      </c>
      <c r="AC27" s="333">
        <v>0</v>
      </c>
      <c r="AD27" s="333">
        <v>0</v>
      </c>
    </row>
    <row r="36" spans="10:13">
      <c r="L36" s="282" t="s">
        <v>292</v>
      </c>
      <c r="M36" s="282" t="s">
        <v>293</v>
      </c>
    </row>
    <row r="37" spans="10:13">
      <c r="J37" s="282" t="s">
        <v>205</v>
      </c>
      <c r="K37" s="282" t="s">
        <v>206</v>
      </c>
      <c r="L37" s="282">
        <v>0.74133047237566796</v>
      </c>
    </row>
    <row r="38" spans="10:13">
      <c r="J38" s="282" t="s">
        <v>214</v>
      </c>
      <c r="K38" s="282" t="s">
        <v>215</v>
      </c>
      <c r="L38" s="282">
        <v>0.70579966949183226</v>
      </c>
    </row>
    <row r="39" spans="10:13">
      <c r="J39" s="282" t="s">
        <v>217</v>
      </c>
      <c r="K39" s="282" t="s">
        <v>218</v>
      </c>
      <c r="L39" s="282">
        <v>0.70448204835116923</v>
      </c>
    </row>
    <row r="40" spans="10:13">
      <c r="J40" s="282" t="s">
        <v>219</v>
      </c>
      <c r="K40" s="282" t="s">
        <v>220</v>
      </c>
      <c r="L40" s="282">
        <v>0.70448204835116923</v>
      </c>
    </row>
    <row r="41" spans="10:13">
      <c r="K41" s="282" t="s">
        <v>224</v>
      </c>
      <c r="L41" s="282">
        <v>0.72394704223382245</v>
      </c>
    </row>
    <row r="42" spans="10:13">
      <c r="J42" s="282" t="s">
        <v>222</v>
      </c>
      <c r="K42" s="282" t="s">
        <v>223</v>
      </c>
      <c r="L42" s="282">
        <v>0.67564531292204155</v>
      </c>
    </row>
    <row r="43" spans="10:13">
      <c r="J43" s="282" t="s">
        <v>226</v>
      </c>
      <c r="K43" s="282" t="s">
        <v>294</v>
      </c>
      <c r="L43" s="282">
        <v>0.66</v>
      </c>
    </row>
    <row r="44" spans="10:13">
      <c r="J44" s="282" t="s">
        <v>228</v>
      </c>
      <c r="K44" s="282" t="s">
        <v>294</v>
      </c>
      <c r="L44" s="282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opLeftCell="A25" zoomScale="80" zoomScaleNormal="80" workbookViewId="0">
      <selection activeCell="F66" sqref="F66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9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40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40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24" t="s">
        <v>313</v>
      </c>
    </row>
    <row r="54" spans="2:13" ht="15.75" customHeight="1">
      <c r="B54" s="325" t="s">
        <v>1</v>
      </c>
      <c r="C54" s="325" t="s">
        <v>5</v>
      </c>
      <c r="D54" s="325" t="s">
        <v>6</v>
      </c>
      <c r="E54" s="325" t="s">
        <v>173</v>
      </c>
      <c r="F54" s="325" t="s">
        <v>314</v>
      </c>
      <c r="G54" s="325" t="s">
        <v>174</v>
      </c>
      <c r="H54" s="325" t="s">
        <v>164</v>
      </c>
      <c r="I54" s="326" t="s">
        <v>43</v>
      </c>
      <c r="J54" s="326" t="s">
        <v>41</v>
      </c>
      <c r="K54" s="326" t="s">
        <v>88</v>
      </c>
      <c r="L54" s="326" t="s">
        <v>316</v>
      </c>
      <c r="M54" s="341"/>
    </row>
    <row r="55" spans="2:13" ht="15.75" customHeight="1">
      <c r="B55" s="327" t="s">
        <v>315</v>
      </c>
      <c r="C55" s="328" t="s">
        <v>86</v>
      </c>
      <c r="D55" s="328" t="s">
        <v>79</v>
      </c>
      <c r="E55" s="328"/>
      <c r="F55" s="328"/>
      <c r="G55" s="328"/>
      <c r="H55" s="328"/>
      <c r="I55" s="329">
        <v>0.37</v>
      </c>
      <c r="J55" s="330">
        <v>20</v>
      </c>
      <c r="K55" s="331">
        <v>0</v>
      </c>
      <c r="L55" s="332">
        <v>100.40972222222221</v>
      </c>
      <c r="M55" s="33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29"/>
  <sheetViews>
    <sheetView tabSelected="1" topLeftCell="A58" zoomScale="70" zoomScaleNormal="70" workbookViewId="0">
      <selection activeCell="W95" sqref="W95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8" t="s">
        <v>32</v>
      </c>
      <c r="D7" s="288" t="s">
        <v>29</v>
      </c>
      <c r="E7" s="288" t="s">
        <v>24</v>
      </c>
      <c r="F7" s="288" t="s">
        <v>25</v>
      </c>
      <c r="G7" s="288" t="s">
        <v>4</v>
      </c>
      <c r="H7" s="288" t="s">
        <v>35</v>
      </c>
      <c r="I7" s="288" t="s">
        <v>36</v>
      </c>
      <c r="J7" s="288" t="s">
        <v>310</v>
      </c>
      <c r="K7" s="288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276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276</v>
      </c>
      <c r="E15" s="21" t="s">
        <v>178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271</v>
      </c>
      <c r="F16" s="21" t="s">
        <v>269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272</v>
      </c>
      <c r="F17" s="21" t="s">
        <v>270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102</v>
      </c>
      <c r="F18" s="21" t="s">
        <v>93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162</v>
      </c>
      <c r="F19" s="21" t="s">
        <v>161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276</v>
      </c>
      <c r="E20" s="21" t="s">
        <v>86</v>
      </c>
      <c r="F20" s="21" t="s">
        <v>87</v>
      </c>
      <c r="G20" s="21" t="s">
        <v>40</v>
      </c>
      <c r="H20" s="21" t="s">
        <v>165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289" t="s">
        <v>33</v>
      </c>
      <c r="D27" s="289" t="s">
        <v>29</v>
      </c>
      <c r="E27" s="289" t="s">
        <v>19</v>
      </c>
      <c r="F27" s="289" t="s">
        <v>20</v>
      </c>
      <c r="G27" s="289" t="s">
        <v>311</v>
      </c>
      <c r="H27" s="289" t="s">
        <v>22</v>
      </c>
      <c r="I27" s="289" t="s">
        <v>38</v>
      </c>
      <c r="J27" s="289" t="s">
        <v>37</v>
      </c>
      <c r="K27" s="289" t="s">
        <v>23</v>
      </c>
    </row>
    <row r="28" spans="3:14" ht="15.75" customHeight="1">
      <c r="C28" s="290" t="s">
        <v>42</v>
      </c>
      <c r="D28" s="290"/>
      <c r="E28" s="290"/>
      <c r="F28" s="290"/>
      <c r="G28" s="290"/>
      <c r="H28" s="290"/>
      <c r="I28" s="290"/>
      <c r="J28" s="290"/>
      <c r="K28" s="290"/>
    </row>
    <row r="29" spans="3:14" ht="15.75" customHeight="1">
      <c r="C29" s="21" t="s">
        <v>67</v>
      </c>
      <c r="D29" s="21" t="s">
        <v>276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96</v>
      </c>
      <c r="H29" s="21" t="s">
        <v>295</v>
      </c>
      <c r="I29" s="21"/>
      <c r="J29" s="21"/>
      <c r="K29" s="21"/>
    </row>
    <row r="30" spans="3:14" ht="15.75" customHeight="1">
      <c r="C30" s="21" t="s">
        <v>67</v>
      </c>
      <c r="D30" s="21" t="s">
        <v>276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 thickBot="1">
      <c r="C35" s="156" t="s">
        <v>67</v>
      </c>
      <c r="D35" s="156" t="s">
        <v>276</v>
      </c>
      <c r="E35" s="157" t="str">
        <f>+LEFT($E$8,5)&amp;LEFT(EECA_data_18!F11,4)&amp;LEFT(EECA_data_18!H11,3)&amp;"15"</f>
        <v>T_P_CPHEVPET15</v>
      </c>
      <c r="F35" s="15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56" t="s">
        <v>96</v>
      </c>
      <c r="H35" s="156" t="s">
        <v>295</v>
      </c>
      <c r="I35" s="156"/>
      <c r="J35" s="156"/>
      <c r="K35" s="156"/>
    </row>
    <row r="36" spans="3:11" ht="15.75" customHeight="1">
      <c r="C36" s="159" t="s">
        <v>67</v>
      </c>
      <c r="D36" s="159" t="s">
        <v>276</v>
      </c>
      <c r="E36" s="160" t="str">
        <f>+LEFT($E$9,5)&amp;LEFT(EECA_data_18!F13,4)&amp;LEFT(EECA_data_18!H13,3)&amp;"15"</f>
        <v>T_C_CICEPET15</v>
      </c>
      <c r="F36" s="16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59" t="s">
        <v>96</v>
      </c>
      <c r="H36" s="159" t="s">
        <v>295</v>
      </c>
      <c r="I36" s="159"/>
      <c r="J36" s="159"/>
      <c r="K36" s="159"/>
    </row>
    <row r="37" spans="3:11" ht="15.75" customHeight="1">
      <c r="C37" s="162" t="s">
        <v>67</v>
      </c>
      <c r="D37" s="162" t="s">
        <v>276</v>
      </c>
      <c r="E37" s="163" t="str">
        <f>+LEFT($E$9,5)&amp;LEFT(EECA_data_18!F14,4)&amp;LEFT(EECA_data_18!H14,3)&amp;"15"</f>
        <v>T_C_CICEDSL15</v>
      </c>
      <c r="F37" s="16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62" t="s">
        <v>96</v>
      </c>
      <c r="H37" s="162" t="s">
        <v>295</v>
      </c>
      <c r="I37" s="162"/>
      <c r="J37" s="162"/>
      <c r="K37" s="162"/>
    </row>
    <row r="38" spans="3:11" ht="15.75" customHeight="1">
      <c r="C38" s="162" t="s">
        <v>67</v>
      </c>
      <c r="D38" s="162" t="s">
        <v>276</v>
      </c>
      <c r="E38" s="163" t="str">
        <f>+LEFT($E$9,5)&amp;LEFT(EECA_data_18!F15,4)&amp;LEFT(EECA_data_18!H15,3)&amp;"15"</f>
        <v>T_C_CBEVNEW15</v>
      </c>
      <c r="F38" s="16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62" t="s">
        <v>96</v>
      </c>
      <c r="H38" s="162" t="s">
        <v>295</v>
      </c>
      <c r="I38" s="162"/>
      <c r="J38" s="162"/>
      <c r="K38" s="162"/>
    </row>
    <row r="39" spans="3:11" ht="15.75" customHeight="1">
      <c r="C39" s="162" t="s">
        <v>67</v>
      </c>
      <c r="D39" s="162" t="s">
        <v>276</v>
      </c>
      <c r="E39" s="163" t="str">
        <f>+LEFT($E$9,5)&amp;LEFT(EECA_data_18!F16,4)&amp;LEFT(EECA_data_18!H16,3)&amp;"15"</f>
        <v>T_C_CICELPG15</v>
      </c>
      <c r="F39" s="16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62" t="s">
        <v>96</v>
      </c>
      <c r="H39" s="162" t="s">
        <v>295</v>
      </c>
      <c r="I39" s="162"/>
      <c r="J39" s="162"/>
      <c r="K39" s="162"/>
    </row>
    <row r="40" spans="3:11" ht="15.75" customHeight="1" thickBot="1">
      <c r="C40" s="165" t="s">
        <v>67</v>
      </c>
      <c r="D40" s="165" t="s">
        <v>276</v>
      </c>
      <c r="E40" s="166" t="str">
        <f>+LEFT($E$9,5)&amp;LEFT(EECA_data_18!F17,4)&amp;LEFT(EECA_data_18!H17,3)&amp;"15"</f>
        <v>T_C_CHYBPET15</v>
      </c>
      <c r="F40" s="16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65" t="s">
        <v>96</v>
      </c>
      <c r="H40" s="165" t="s">
        <v>295</v>
      </c>
      <c r="I40" s="165"/>
      <c r="J40" s="165"/>
      <c r="K40" s="165"/>
    </row>
    <row r="41" spans="3:11" ht="15.75" customHeight="1" thickBot="1">
      <c r="C41" s="156" t="s">
        <v>67</v>
      </c>
      <c r="D41" s="156" t="s">
        <v>276</v>
      </c>
      <c r="E41" s="157" t="s">
        <v>94</v>
      </c>
      <c r="F41" s="158" t="s">
        <v>95</v>
      </c>
      <c r="G41" s="156" t="s">
        <v>96</v>
      </c>
      <c r="H41" s="156" t="s">
        <v>296</v>
      </c>
      <c r="I41" s="156"/>
      <c r="J41" s="156"/>
      <c r="K41" s="156"/>
    </row>
    <row r="42" spans="3:11" ht="15.75" customHeight="1">
      <c r="C42" s="162" t="s">
        <v>67</v>
      </c>
      <c r="D42" s="162" t="s">
        <v>276</v>
      </c>
      <c r="E42" s="163" t="s">
        <v>97</v>
      </c>
      <c r="F42" s="164" t="str">
        <f>+EECA_data_18!D22&amp;"- "&amp;EECA_data_18!F22&amp;"-"&amp;EECA_data_18!H22</f>
        <v>Bus- ICE-PET</v>
      </c>
      <c r="G42" s="162" t="s">
        <v>96</v>
      </c>
      <c r="H42" s="162" t="s">
        <v>297</v>
      </c>
      <c r="I42" s="162"/>
      <c r="J42" s="162"/>
      <c r="K42" s="162"/>
    </row>
    <row r="43" spans="3:11" ht="15.75" customHeight="1">
      <c r="C43" s="162" t="s">
        <v>67</v>
      </c>
      <c r="D43" s="162" t="s">
        <v>276</v>
      </c>
      <c r="E43" s="163" t="s">
        <v>98</v>
      </c>
      <c r="F43" s="164" t="str">
        <f>+EECA_data_18!D23&amp;"- "&amp;EECA_data_18!F23&amp;"-"&amp;EECA_data_18!H23</f>
        <v>Bus- ICE-DSL</v>
      </c>
      <c r="G43" s="162" t="s">
        <v>96</v>
      </c>
      <c r="H43" s="162" t="s">
        <v>297</v>
      </c>
      <c r="I43" s="162"/>
      <c r="J43" s="162"/>
      <c r="K43" s="162"/>
    </row>
    <row r="44" spans="3:11" ht="15.75" customHeight="1" thickBot="1">
      <c r="C44" s="165" t="s">
        <v>67</v>
      </c>
      <c r="D44" s="165" t="s">
        <v>276</v>
      </c>
      <c r="E44" s="166" t="s">
        <v>99</v>
      </c>
      <c r="F44" s="167" t="str">
        <f>+EECA_data_18!D24&amp;"- "&amp;EECA_data_18!F24&amp;"-"&amp;EECA_data_18!H24</f>
        <v>Bus- BEV-NEW</v>
      </c>
      <c r="G44" s="165" t="s">
        <v>96</v>
      </c>
      <c r="H44" s="165" t="s">
        <v>297</v>
      </c>
      <c r="I44" s="165"/>
      <c r="J44" s="165"/>
      <c r="K44" s="165"/>
    </row>
    <row r="45" spans="3:11" ht="15.75" customHeight="1">
      <c r="C45" s="21" t="s">
        <v>67</v>
      </c>
      <c r="D45" s="21" t="s">
        <v>276</v>
      </c>
      <c r="E45" s="27" t="s">
        <v>260</v>
      </c>
      <c r="F45" s="48" t="str">
        <f>+EECA_data_18!D18&amp;" - "&amp;EECA_data_18!F18&amp;" - "&amp;EECA_data_18!H18</f>
        <v>Medium Truck - ICE - PET</v>
      </c>
      <c r="G45" s="21" t="s">
        <v>96</v>
      </c>
      <c r="H45" s="21" t="s">
        <v>298</v>
      </c>
      <c r="I45" s="21"/>
      <c r="J45" s="21"/>
      <c r="K45" s="21"/>
    </row>
    <row r="46" spans="3:11" ht="15.75" customHeight="1">
      <c r="C46" s="21" t="s">
        <v>67</v>
      </c>
      <c r="D46" s="21" t="s">
        <v>276</v>
      </c>
      <c r="E46" s="27" t="s">
        <v>261</v>
      </c>
      <c r="F46" s="48" t="str">
        <f>+EECA_data_18!D19&amp;" - "&amp;EECA_data_18!F19&amp;" - "&amp;EECA_data_18!H19</f>
        <v>Medium Truck - ICE - DSL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 thickBot="1">
      <c r="C47" s="156" t="s">
        <v>67</v>
      </c>
      <c r="D47" s="156" t="s">
        <v>276</v>
      </c>
      <c r="E47" s="158" t="s">
        <v>262</v>
      </c>
      <c r="F47" s="158" t="str">
        <f>+EECA_data_18!D20&amp;" - "&amp;EECA_data_18!F20&amp;" - "&amp;EECA_data_18!H20</f>
        <v>Medium Truck - BEV - NEW</v>
      </c>
      <c r="G47" s="156" t="s">
        <v>96</v>
      </c>
      <c r="H47" s="156" t="s">
        <v>298</v>
      </c>
      <c r="I47" s="156"/>
      <c r="J47" s="156"/>
      <c r="K47" s="156"/>
    </row>
    <row r="48" spans="3:11" ht="15.75" customHeight="1" thickBot="1">
      <c r="C48" s="165" t="s">
        <v>67</v>
      </c>
      <c r="D48" s="165" t="s">
        <v>276</v>
      </c>
      <c r="E48" s="167" t="s">
        <v>263</v>
      </c>
      <c r="F48" s="167" t="str">
        <f>+EECA_data_18!D21&amp;" - "&amp;EECA_data_18!F21&amp;" - "&amp;EECA_data_18!H21</f>
        <v>Heavy truck - ICE - DSL</v>
      </c>
      <c r="G48" s="165" t="s">
        <v>96</v>
      </c>
      <c r="H48" s="165" t="s">
        <v>298</v>
      </c>
      <c r="I48" s="165"/>
      <c r="J48" s="165"/>
      <c r="K48" s="165"/>
    </row>
    <row r="49" spans="2:85" ht="15.75" customHeight="1" thickBot="1">
      <c r="C49" s="176" t="s">
        <v>67</v>
      </c>
      <c r="D49" s="177" t="s">
        <v>276</v>
      </c>
      <c r="E49" s="178" t="s">
        <v>267</v>
      </c>
      <c r="F49" s="179" t="s">
        <v>269</v>
      </c>
      <c r="G49" s="177" t="s">
        <v>40</v>
      </c>
      <c r="H49" s="177" t="s">
        <v>56</v>
      </c>
      <c r="I49" s="177"/>
      <c r="J49" s="176"/>
      <c r="K49" s="176"/>
    </row>
    <row r="50" spans="2:85" ht="15.75" customHeight="1" thickBot="1">
      <c r="C50" s="172" t="s">
        <v>67</v>
      </c>
      <c r="D50" s="173" t="s">
        <v>276</v>
      </c>
      <c r="E50" s="174" t="s">
        <v>268</v>
      </c>
      <c r="F50" s="175" t="s">
        <v>270</v>
      </c>
      <c r="G50" s="173" t="s">
        <v>40</v>
      </c>
      <c r="H50" s="173" t="s">
        <v>56</v>
      </c>
      <c r="I50" s="173"/>
      <c r="J50" s="172"/>
      <c r="K50" s="172"/>
    </row>
    <row r="51" spans="2:85" ht="15.75" customHeight="1">
      <c r="C51" s="168" t="s">
        <v>67</v>
      </c>
      <c r="D51" s="154" t="s">
        <v>276</v>
      </c>
      <c r="E51" s="155" t="s">
        <v>101</v>
      </c>
      <c r="F51" s="169" t="s">
        <v>100</v>
      </c>
      <c r="G51" s="154" t="s">
        <v>40</v>
      </c>
      <c r="H51" s="154" t="s">
        <v>56</v>
      </c>
      <c r="I51" s="154"/>
      <c r="J51" s="168"/>
      <c r="K51" s="168"/>
    </row>
    <row r="52" spans="2:85" ht="15.75" customHeight="1" thickBot="1">
      <c r="C52" s="170" t="s">
        <v>67</v>
      </c>
      <c r="D52" s="165" t="s">
        <v>276</v>
      </c>
      <c r="E52" s="166" t="s">
        <v>159</v>
      </c>
      <c r="F52" s="171" t="s">
        <v>160</v>
      </c>
      <c r="G52" s="165" t="s">
        <v>40</v>
      </c>
      <c r="H52" s="165" t="s">
        <v>56</v>
      </c>
      <c r="I52" s="165"/>
      <c r="J52" s="170"/>
      <c r="K52" s="170"/>
      <c r="P52" s="57"/>
      <c r="Q52" s="57"/>
      <c r="R52" s="57"/>
      <c r="S52" s="57"/>
      <c r="T52" s="57"/>
      <c r="U52" s="57"/>
    </row>
    <row r="53" spans="2:85" ht="15.75" customHeight="1">
      <c r="C53" s="168" t="s">
        <v>67</v>
      </c>
      <c r="D53" s="154" t="s">
        <v>276</v>
      </c>
      <c r="E53" s="155" t="s">
        <v>170</v>
      </c>
      <c r="F53" s="169" t="s">
        <v>171</v>
      </c>
      <c r="G53" s="154" t="s">
        <v>40</v>
      </c>
      <c r="H53" s="154" t="s">
        <v>56</v>
      </c>
      <c r="I53" s="154"/>
      <c r="J53" s="168"/>
      <c r="K53" s="168"/>
    </row>
    <row r="54" spans="2:85" ht="15.75" customHeight="1" thickBot="1">
      <c r="C54" s="170" t="s">
        <v>67</v>
      </c>
      <c r="D54" s="165" t="s">
        <v>276</v>
      </c>
      <c r="E54" s="166" t="s">
        <v>179</v>
      </c>
      <c r="F54" s="171" t="s">
        <v>180</v>
      </c>
      <c r="G54" s="165" t="s">
        <v>40</v>
      </c>
      <c r="H54" s="165" t="s">
        <v>56</v>
      </c>
      <c r="I54" s="165"/>
      <c r="J54" s="170"/>
      <c r="K54" s="170"/>
      <c r="CG54" s="2" t="s">
        <v>299</v>
      </c>
    </row>
    <row r="55" spans="2:85" ht="15.75" customHeight="1"/>
    <row r="56" spans="2:85" ht="15.75" customHeight="1">
      <c r="U56" s="291"/>
    </row>
    <row r="57" spans="2:85" ht="15.75" customHeight="1"/>
    <row r="58" spans="2:85" ht="15.75" customHeight="1">
      <c r="E58" s="37" t="s">
        <v>69</v>
      </c>
      <c r="F58" s="37"/>
      <c r="G58" s="13"/>
      <c r="H58" s="13"/>
    </row>
    <row r="59" spans="2:85" ht="25.5">
      <c r="C59" s="148" t="s">
        <v>1</v>
      </c>
      <c r="D59" s="148" t="s">
        <v>5</v>
      </c>
      <c r="E59" s="148" t="s">
        <v>6</v>
      </c>
      <c r="F59" s="148" t="s">
        <v>327</v>
      </c>
      <c r="G59" s="148" t="s">
        <v>266</v>
      </c>
      <c r="H59" s="148" t="s">
        <v>41</v>
      </c>
      <c r="I59" s="149" t="s">
        <v>172</v>
      </c>
      <c r="J59" s="148" t="s">
        <v>88</v>
      </c>
      <c r="K59" s="148" t="s">
        <v>300</v>
      </c>
      <c r="L59" s="148" t="s">
        <v>301</v>
      </c>
      <c r="M59" s="148" t="s">
        <v>52</v>
      </c>
      <c r="N59" s="148" t="s">
        <v>328</v>
      </c>
      <c r="O59" s="148" t="s">
        <v>239</v>
      </c>
      <c r="P59" s="148" t="s">
        <v>82</v>
      </c>
      <c r="Q59" s="148" t="s">
        <v>81</v>
      </c>
      <c r="R59" s="148" t="s">
        <v>83</v>
      </c>
      <c r="S59" s="148" t="s">
        <v>329</v>
      </c>
      <c r="T59" s="149" t="s">
        <v>302</v>
      </c>
      <c r="U59" s="148" t="s">
        <v>303</v>
      </c>
      <c r="V59" s="148" t="s">
        <v>304</v>
      </c>
      <c r="W59" s="148" t="s">
        <v>305</v>
      </c>
      <c r="X59" s="148" t="s">
        <v>264</v>
      </c>
      <c r="Y59" s="148" t="s">
        <v>265</v>
      </c>
      <c r="Z59" s="148" t="s">
        <v>330</v>
      </c>
      <c r="AA59" s="148" t="s">
        <v>319</v>
      </c>
    </row>
    <row r="60" spans="2:85" ht="48">
      <c r="C60" s="292" t="s">
        <v>34</v>
      </c>
      <c r="D60" s="292" t="s">
        <v>30</v>
      </c>
      <c r="E60" s="292" t="s">
        <v>31</v>
      </c>
      <c r="F60" s="292" t="s">
        <v>306</v>
      </c>
      <c r="G60" s="292" t="s">
        <v>80</v>
      </c>
      <c r="H60" s="292" t="s">
        <v>49</v>
      </c>
      <c r="I60" s="293" t="s">
        <v>238</v>
      </c>
      <c r="J60" s="294" t="s">
        <v>273</v>
      </c>
      <c r="K60" s="294" t="s">
        <v>273</v>
      </c>
      <c r="L60" s="294" t="s">
        <v>245</v>
      </c>
      <c r="M60" s="294" t="s">
        <v>246</v>
      </c>
      <c r="N60" s="294" t="s">
        <v>253</v>
      </c>
      <c r="O60" s="294" t="s">
        <v>253</v>
      </c>
      <c r="P60" s="294" t="s">
        <v>249</v>
      </c>
      <c r="Q60" s="294" t="s">
        <v>250</v>
      </c>
      <c r="R60" s="294" t="s">
        <v>251</v>
      </c>
      <c r="S60" s="294" t="s">
        <v>274</v>
      </c>
      <c r="T60" s="293" t="s">
        <v>252</v>
      </c>
      <c r="U60" s="294" t="s">
        <v>274</v>
      </c>
      <c r="V60" s="294" t="s">
        <v>275</v>
      </c>
      <c r="W60" s="294" t="s">
        <v>274</v>
      </c>
      <c r="X60" s="294" t="s">
        <v>254</v>
      </c>
      <c r="Y60" s="294" t="s">
        <v>255</v>
      </c>
      <c r="Z60" s="294" t="s">
        <v>320</v>
      </c>
      <c r="AA60" s="294" t="s">
        <v>320</v>
      </c>
    </row>
    <row r="61" spans="2:85" ht="24">
      <c r="C61" s="292" t="s">
        <v>45</v>
      </c>
      <c r="D61" s="292"/>
      <c r="E61" s="292"/>
      <c r="F61" s="292" t="s">
        <v>103</v>
      </c>
      <c r="G61" s="292" t="s">
        <v>103</v>
      </c>
      <c r="H61" s="292" t="s">
        <v>46</v>
      </c>
      <c r="I61" s="293"/>
      <c r="J61" s="294">
        <v>2015</v>
      </c>
      <c r="K61" s="294">
        <v>2018</v>
      </c>
      <c r="L61" s="294"/>
      <c r="M61" s="294" t="s">
        <v>247</v>
      </c>
      <c r="N61" s="294" t="s">
        <v>248</v>
      </c>
      <c r="O61" s="294" t="s">
        <v>248</v>
      </c>
      <c r="P61" s="294" t="s">
        <v>307</v>
      </c>
      <c r="Q61" s="294" t="s">
        <v>307</v>
      </c>
      <c r="R61" s="294" t="s">
        <v>307</v>
      </c>
      <c r="S61" s="293" t="s">
        <v>308</v>
      </c>
      <c r="T61" s="293" t="s">
        <v>308</v>
      </c>
      <c r="U61" s="293" t="s">
        <v>308</v>
      </c>
      <c r="V61" s="293" t="s">
        <v>308</v>
      </c>
      <c r="W61" s="293" t="s">
        <v>308</v>
      </c>
      <c r="X61" s="294" t="s">
        <v>248</v>
      </c>
      <c r="Y61" s="294"/>
      <c r="Z61" s="294" t="s">
        <v>248</v>
      </c>
      <c r="AA61" s="294" t="s">
        <v>248</v>
      </c>
    </row>
    <row r="62" spans="2:85" ht="15.75" customHeight="1">
      <c r="B62" s="369"/>
      <c r="C62" s="139" t="str">
        <f t="shared" ref="C62:C68" si="0">+E29</f>
        <v>T_P_CICEPET15</v>
      </c>
      <c r="D62" s="140" t="str">
        <f>"TRA"&amp;LEFT(RIGHT(C62,5),3)</f>
        <v>TRAPET</v>
      </c>
      <c r="E62" s="139" t="str">
        <f>+$E$8</f>
        <v>T_P_Car</v>
      </c>
      <c r="F62" s="257">
        <f>+EECA_data_15!H5</f>
        <v>0.28964251024745374</v>
      </c>
      <c r="G62" s="141">
        <f>EECA_data_18!J5*1.043</f>
        <v>0.30845918332748123</v>
      </c>
      <c r="H62" s="142">
        <f>+EECA_data_18!K5</f>
        <v>18.893708932999999</v>
      </c>
      <c r="I62" s="150"/>
      <c r="J62" s="141">
        <f>+EECA_data_15!J5*EECA_data_15!Q5</f>
        <v>7.2058109999999997</v>
      </c>
      <c r="K62" s="141">
        <f>EECA_data_18!L5*EECA_data_18!S5</f>
        <v>8.1943919656112154</v>
      </c>
      <c r="L62" s="142">
        <v>-1</v>
      </c>
      <c r="M62" s="141">
        <v>0.08</v>
      </c>
      <c r="N62" s="295">
        <f>+J62/M62/S62</f>
        <v>0.13338014858711711</v>
      </c>
      <c r="O62" s="295">
        <f>+K62/M62/T62</f>
        <v>0.1330791275965717</v>
      </c>
      <c r="P62" s="142">
        <f>+EECA_data_18!M5</f>
        <v>33.857253063779488</v>
      </c>
      <c r="Q62" s="296">
        <f>+EECA_data_18!P5</f>
        <v>1.3836761070950265</v>
      </c>
      <c r="R62" s="142"/>
      <c r="S62" s="142">
        <f>+EECA_data_15!L5*EECA_data_15!Q5</f>
        <v>675.30767100000003</v>
      </c>
      <c r="T62" s="297">
        <f>+EECA_data_18!N5*EECA_data_18!S5</f>
        <v>769.69169711313111</v>
      </c>
      <c r="U62" s="141">
        <v>0</v>
      </c>
      <c r="V62" s="141"/>
      <c r="W62" s="142"/>
      <c r="X62" s="142"/>
      <c r="Y62" s="142"/>
      <c r="Z62" s="142"/>
      <c r="AA62" s="142"/>
      <c r="AB62" s="298"/>
      <c r="AC62" s="56"/>
      <c r="AD62" s="56"/>
      <c r="AE62" s="299"/>
      <c r="AI62" s="300"/>
      <c r="AJ62" s="300"/>
    </row>
    <row r="63" spans="2:85" ht="15.75" customHeight="1">
      <c r="B63" s="369"/>
      <c r="C63" s="139" t="str">
        <f t="shared" si="0"/>
        <v>T_P_CICEDSL15</v>
      </c>
      <c r="D63" s="140" t="str">
        <f t="shared" ref="D63:D83" si="1">"TRA"&amp;LEFT(RIGHT(C63,5),3)</f>
        <v>TRADSL</v>
      </c>
      <c r="E63" s="139" t="str">
        <f t="shared" ref="E63:E68" si="2">+$E$8</f>
        <v>T_P_Car</v>
      </c>
      <c r="F63" s="257">
        <f>+EECA_data_15!H6</f>
        <v>0.27145637995161387</v>
      </c>
      <c r="G63" s="141">
        <f>EECA_data_18!J6</f>
        <v>0.27102281432564018</v>
      </c>
      <c r="H63" s="142">
        <f>+EECA_data_18!K6</f>
        <v>19.957648846000001</v>
      </c>
      <c r="I63" s="150"/>
      <c r="J63" s="141">
        <f>+EECA_data_15!J6*EECA_data_15!Q6</f>
        <v>0.83663999999999994</v>
      </c>
      <c r="K63" s="141">
        <f>EECA_data_18!L6*EECA_data_18!S6</f>
        <v>0.97544278867135614</v>
      </c>
      <c r="L63" s="142">
        <v>-1</v>
      </c>
      <c r="M63" s="141">
        <f>M62</f>
        <v>0.08</v>
      </c>
      <c r="N63" s="295">
        <f>+J63/M63/S63</f>
        <v>0.16738269262958211</v>
      </c>
      <c r="O63" s="295">
        <f t="shared" ref="O63:O68" si="3">+K63/M63/T63</f>
        <v>0.16652648589847888</v>
      </c>
      <c r="P63" s="142">
        <f>+EECA_data_18!M6</f>
        <v>40.982161028207202</v>
      </c>
      <c r="Q63" s="296">
        <f>+EECA_data_18!P6</f>
        <v>1.3430866666666668</v>
      </c>
      <c r="R63" s="142"/>
      <c r="S63" s="142">
        <f>+EECA_data_15!L6*EECA_data_15!Q6</f>
        <v>62.479577999999989</v>
      </c>
      <c r="T63" s="297">
        <f>+EECA_data_18!N6*EECA_data_18!S6</f>
        <v>73.21979319148852</v>
      </c>
      <c r="U63" s="141">
        <v>0</v>
      </c>
      <c r="V63" s="141"/>
      <c r="W63" s="142"/>
      <c r="X63" s="142"/>
      <c r="Y63" s="142"/>
      <c r="Z63" s="142"/>
      <c r="AA63" s="142"/>
      <c r="AB63" s="298"/>
      <c r="AC63" s="56"/>
      <c r="AD63" s="56"/>
      <c r="AE63" s="299"/>
      <c r="AI63" s="300"/>
      <c r="AJ63" s="300"/>
    </row>
    <row r="64" spans="2:85" ht="15.75" customHeight="1">
      <c r="B64" s="369"/>
      <c r="C64" s="139" t="str">
        <f t="shared" si="0"/>
        <v>T_P_CBEVNEW15</v>
      </c>
      <c r="D64" s="140" t="s">
        <v>55</v>
      </c>
      <c r="E64" s="139" t="str">
        <f t="shared" si="2"/>
        <v>T_P_Car</v>
      </c>
      <c r="F64" s="257">
        <f>+EECA_data_15!H7</f>
        <v>1.3967093772495132</v>
      </c>
      <c r="G64" s="141">
        <f>EECA_data_18!J7</f>
        <v>1.4079922210878586</v>
      </c>
      <c r="H64" s="142">
        <f>+EECA_data_18!K7</f>
        <v>18.893708932999999</v>
      </c>
      <c r="I64" s="150"/>
      <c r="J64" s="141">
        <f>+EECA_data_15!J7*EECA_data_15!Q7</f>
        <v>9.9599999999999992E-4</v>
      </c>
      <c r="K64" s="141">
        <f>EECA_data_18!L7*EECA_data_18!S7</f>
        <v>1.6813519295581583E-2</v>
      </c>
      <c r="L64" s="142">
        <v>-1</v>
      </c>
      <c r="M64" s="141">
        <f t="shared" ref="M64:M68" si="4">M63</f>
        <v>0.08</v>
      </c>
      <c r="N64" s="295">
        <f>+J64/M64/S64</f>
        <v>0.1059322033898305</v>
      </c>
      <c r="O64" s="295">
        <f t="shared" si="3"/>
        <v>9.6019078547742456E-2</v>
      </c>
      <c r="P64" s="142">
        <f>+EECA_data_18!M7</f>
        <v>56.434273897483351</v>
      </c>
      <c r="Q64" s="296">
        <f>+EECA_data_18!P7</f>
        <v>1.3469862952194624</v>
      </c>
      <c r="R64" s="142"/>
      <c r="S64" s="142">
        <f>+EECA_data_15!L7*EECA_data_15!Q7</f>
        <v>0.11752799999999999</v>
      </c>
      <c r="T64" s="297">
        <f>+EECA_data_18!N7*EECA_data_18!S7</f>
        <v>2.1888253290232305</v>
      </c>
      <c r="U64" s="141">
        <v>0</v>
      </c>
      <c r="V64" s="141"/>
      <c r="W64" s="142"/>
      <c r="X64" s="142"/>
      <c r="Y64" s="142"/>
      <c r="Z64" s="142"/>
      <c r="AA64" s="142"/>
      <c r="AB64" s="298"/>
      <c r="AC64" s="56"/>
      <c r="AD64" s="56"/>
      <c r="AE64" s="299"/>
      <c r="AI64" s="300"/>
      <c r="AJ64" s="300"/>
    </row>
    <row r="65" spans="2:42" ht="15.75" customHeight="1">
      <c r="B65" s="369"/>
      <c r="C65" s="139" t="str">
        <f t="shared" si="0"/>
        <v>T_P_CBEVUSD15</v>
      </c>
      <c r="D65" s="140" t="s">
        <v>55</v>
      </c>
      <c r="E65" s="139" t="str">
        <f t="shared" si="2"/>
        <v>T_P_Car</v>
      </c>
      <c r="F65" s="257">
        <f>+EECA_data_15!H8</f>
        <v>1.3967093772495132</v>
      </c>
      <c r="G65" s="141">
        <f>EECA_data_18!J8</f>
        <v>1.4079922210878586</v>
      </c>
      <c r="H65" s="142">
        <f>+EECA_data_18!K8</f>
        <v>13.893708932999999</v>
      </c>
      <c r="I65" s="150"/>
      <c r="J65" s="141">
        <f>+EECA_data_15!J8*EECA_data_15!Q8</f>
        <v>0</v>
      </c>
      <c r="K65" s="141">
        <f>EECA_data_18!L8*EECA_data_18!S8</f>
        <v>0</v>
      </c>
      <c r="L65" s="142">
        <v>-1</v>
      </c>
      <c r="M65" s="141">
        <f t="shared" si="4"/>
        <v>0.08</v>
      </c>
      <c r="N65" s="301">
        <f>+N64*0.85</f>
        <v>9.0042372881355928E-2</v>
      </c>
      <c r="O65" s="301">
        <f>+O64*0.85</f>
        <v>8.161621676558109E-2</v>
      </c>
      <c r="P65" s="142">
        <f>+EECA_data_18!M8</f>
        <v>25.285083214393978</v>
      </c>
      <c r="Q65" s="296">
        <f>+EECA_data_18!P8</f>
        <v>1.6192717698146617</v>
      </c>
      <c r="R65" s="142"/>
      <c r="S65" s="142">
        <f>+EECA_data_15!L8*EECA_data_15!Q8</f>
        <v>0</v>
      </c>
      <c r="T65" s="297">
        <f>+EECA_data_18!N8*EECA_data_18!S8</f>
        <v>0</v>
      </c>
      <c r="U65" s="141">
        <v>0</v>
      </c>
      <c r="V65" s="141"/>
      <c r="W65" s="142"/>
      <c r="X65" s="142"/>
      <c r="Y65" s="142"/>
      <c r="Z65" s="142"/>
      <c r="AA65" s="142"/>
      <c r="AB65" s="298"/>
      <c r="AC65" s="56"/>
      <c r="AD65" s="56"/>
      <c r="AE65" s="299"/>
      <c r="AI65" s="300"/>
      <c r="AJ65" s="300"/>
    </row>
    <row r="66" spans="2:42" ht="15.75" customHeight="1">
      <c r="B66" s="369"/>
      <c r="C66" s="139" t="str">
        <f t="shared" si="0"/>
        <v>T_P_CICELPG15</v>
      </c>
      <c r="D66" s="140" t="str">
        <f t="shared" si="1"/>
        <v>TRALPG</v>
      </c>
      <c r="E66" s="139" t="str">
        <f t="shared" si="2"/>
        <v>T_P_Car</v>
      </c>
      <c r="F66" s="257">
        <f>+EECA_data_15!H9</f>
        <v>0.30808183498335601</v>
      </c>
      <c r="G66" s="141">
        <f>EECA_data_18!J9</f>
        <v>0.3145699154482855</v>
      </c>
      <c r="H66" s="142">
        <f>+EECA_data_18!K9</f>
        <v>18.893708932999999</v>
      </c>
      <c r="I66" s="150"/>
      <c r="J66" s="141">
        <f>+EECA_data_15!J9*EECA_data_15!Q9</f>
        <v>6.9719999999999999E-3</v>
      </c>
      <c r="K66" s="141">
        <f>EECA_data_18!L9*EECA_data_18!S9</f>
        <v>4.6560514972379769E-3</v>
      </c>
      <c r="L66" s="142">
        <v>-1</v>
      </c>
      <c r="M66" s="141">
        <f t="shared" si="4"/>
        <v>0.08</v>
      </c>
      <c r="N66" s="295">
        <f>+J66/M66/S66</f>
        <v>0.31616982836495033</v>
      </c>
      <c r="O66" s="295">
        <f t="shared" si="3"/>
        <v>0.23845860358641741</v>
      </c>
      <c r="P66" s="142">
        <f>+EECA_data_18!M9</f>
        <v>36.679454380806774</v>
      </c>
      <c r="Q66" s="296">
        <f>+EECA_data_18!P9</f>
        <v>1.3836761070950265</v>
      </c>
      <c r="R66" s="142"/>
      <c r="S66" s="142">
        <f>+EECA_data_15!L9*EECA_data_15!Q9</f>
        <v>0.27564299999999997</v>
      </c>
      <c r="T66" s="297">
        <f>+EECA_data_18!N9*EECA_data_18!S9</f>
        <v>0.24407021948521473</v>
      </c>
      <c r="U66" s="141">
        <v>0</v>
      </c>
      <c r="V66" s="141"/>
      <c r="W66" s="142"/>
      <c r="X66" s="142"/>
      <c r="Y66" s="142"/>
      <c r="Z66" s="142"/>
      <c r="AA66" s="142"/>
      <c r="AB66" s="298"/>
      <c r="AC66" s="56"/>
      <c r="AD66" s="56"/>
      <c r="AE66" s="299"/>
      <c r="AI66" s="300"/>
      <c r="AJ66" s="302"/>
    </row>
    <row r="67" spans="2:42" ht="15.75" customHeight="1">
      <c r="B67" s="369"/>
      <c r="C67" s="139" t="str">
        <f t="shared" si="0"/>
        <v>T_P_CHYBPET15</v>
      </c>
      <c r="D67" s="140" t="str">
        <f t="shared" si="1"/>
        <v>TRAPET</v>
      </c>
      <c r="E67" s="139" t="str">
        <f t="shared" si="2"/>
        <v>T_P_Car</v>
      </c>
      <c r="F67" s="257">
        <f>+EECA_data_15!H10</f>
        <v>0.40881958394081114</v>
      </c>
      <c r="G67" s="141">
        <f>EECA_data_18!J10</f>
        <v>0.40973965605281193</v>
      </c>
      <c r="H67" s="142">
        <f>+EECA_data_18!K10</f>
        <v>18.893708932999999</v>
      </c>
      <c r="I67" s="150"/>
      <c r="J67" s="141">
        <f>+EECA_data_15!J10*EECA_data_15!Q10</f>
        <v>6.9222000000000006E-2</v>
      </c>
      <c r="K67" s="141">
        <f>EECA_data_18!L10*EECA_data_18!S10</f>
        <v>0.12157467798343605</v>
      </c>
      <c r="L67" s="142">
        <v>-1</v>
      </c>
      <c r="M67" s="141">
        <f t="shared" si="4"/>
        <v>0.08</v>
      </c>
      <c r="N67" s="295">
        <f>+J67/M67/S67</f>
        <v>0.24442568755714988</v>
      </c>
      <c r="O67" s="295">
        <f t="shared" si="3"/>
        <v>0.18972353970195158</v>
      </c>
      <c r="P67" s="142">
        <f>+EECA_data_18!M10</f>
        <v>38.4943273070229</v>
      </c>
      <c r="Q67" s="296">
        <f>+EECA_data_18!P10</f>
        <v>1.1330287043611558</v>
      </c>
      <c r="R67" s="142"/>
      <c r="S67" s="142">
        <f>+EECA_data_15!L10*EECA_data_15!Q10</f>
        <v>3.5400330000000002</v>
      </c>
      <c r="T67" s="297">
        <f>+EECA_data_18!N10*EECA_data_18!S10</f>
        <v>8.0099890460631045</v>
      </c>
      <c r="U67" s="141">
        <v>0</v>
      </c>
      <c r="V67" s="141"/>
      <c r="W67" s="142"/>
      <c r="X67" s="142"/>
      <c r="Y67" s="142"/>
      <c r="Z67" s="142"/>
      <c r="AA67" s="142"/>
      <c r="AB67" s="298"/>
      <c r="AC67" s="56"/>
      <c r="AD67" s="56"/>
      <c r="AE67" s="299"/>
      <c r="AI67" s="300"/>
      <c r="AJ67" s="300"/>
    </row>
    <row r="68" spans="2:42" ht="15.75" customHeight="1">
      <c r="B68" s="369"/>
      <c r="C68" s="139" t="str">
        <f t="shared" si="0"/>
        <v>T_P_CPHEVPET15</v>
      </c>
      <c r="D68" s="140"/>
      <c r="E68" s="139" t="str">
        <f t="shared" si="2"/>
        <v>T_P_Car</v>
      </c>
      <c r="F68" s="257"/>
      <c r="G68" s="141"/>
      <c r="H68" s="142">
        <f>+EECA_data_18!K11</f>
        <v>18.893708932999999</v>
      </c>
      <c r="I68" s="150"/>
      <c r="J68" s="141">
        <f>+EECA_data_15!J11*EECA_data_15!Q11</f>
        <v>1.4940000000000001E-3</v>
      </c>
      <c r="K68" s="141">
        <f>EECA_data_18!L11*EECA_data_18!S11</f>
        <v>7.7600858287299622E-3</v>
      </c>
      <c r="L68" s="142">
        <v>-1</v>
      </c>
      <c r="M68" s="141">
        <f t="shared" si="4"/>
        <v>0.08</v>
      </c>
      <c r="N68" s="295">
        <f>+J68/M68/S68</f>
        <v>0.16094420600858367</v>
      </c>
      <c r="O68" s="295">
        <f t="shared" si="3"/>
        <v>0.14002830438792699</v>
      </c>
      <c r="P68" s="142">
        <f>+EECA_data_18!M11</f>
        <v>51.909674036494785</v>
      </c>
      <c r="Q68" s="296">
        <f>+EECA_data_18!P11</f>
        <v>1.2151329648648723</v>
      </c>
      <c r="R68" s="142"/>
      <c r="S68" s="142">
        <f>+EECA_data_15!L11*EECA_data_15!Q11</f>
        <v>0.11603400000000001</v>
      </c>
      <c r="T68" s="297">
        <f>+EECA_data_18!N11*EECA_data_18!S11</f>
        <v>0.69272475506378983</v>
      </c>
      <c r="U68" s="141">
        <v>0</v>
      </c>
      <c r="V68" s="141"/>
      <c r="W68" s="142"/>
      <c r="X68" s="142"/>
      <c r="Y68" s="142"/>
      <c r="Z68" s="142"/>
      <c r="AA68" s="142"/>
      <c r="AB68" s="298"/>
      <c r="AC68" s="56"/>
      <c r="AD68" s="56"/>
      <c r="AE68" s="299"/>
    </row>
    <row r="69" spans="2:42" ht="15.75" customHeight="1">
      <c r="B69" s="287"/>
      <c r="C69" s="139"/>
      <c r="D69" s="140" t="s">
        <v>63</v>
      </c>
      <c r="E69" s="139"/>
      <c r="F69" s="257"/>
      <c r="G69" s="141"/>
      <c r="H69" s="142"/>
      <c r="I69" s="150"/>
      <c r="J69" s="141"/>
      <c r="K69" s="141"/>
      <c r="L69" s="142"/>
      <c r="M69" s="142"/>
      <c r="N69" s="295"/>
      <c r="O69" s="295"/>
      <c r="P69" s="142"/>
      <c r="Q69" s="296"/>
      <c r="R69" s="142"/>
      <c r="S69" s="142"/>
      <c r="T69" s="297"/>
      <c r="U69" s="141"/>
      <c r="V69" s="141"/>
      <c r="W69" s="142"/>
      <c r="X69" s="303">
        <f>1-EECA_data_18!R11</f>
        <v>0.4</v>
      </c>
      <c r="Y69" s="142"/>
      <c r="Z69" s="141">
        <f>+F62</f>
        <v>0.28964251024745374</v>
      </c>
      <c r="AA69" s="141">
        <f>+G62</f>
        <v>0.30845918332748123</v>
      </c>
      <c r="AB69" s="298"/>
      <c r="AC69" s="56"/>
      <c r="AD69" s="56"/>
      <c r="AE69" s="299"/>
    </row>
    <row r="70" spans="2:42" ht="15.75" customHeight="1">
      <c r="B70" s="287"/>
      <c r="C70" s="139"/>
      <c r="D70" s="140" t="s">
        <v>55</v>
      </c>
      <c r="E70" s="139"/>
      <c r="F70" s="257"/>
      <c r="G70" s="257"/>
      <c r="H70" s="142"/>
      <c r="I70" s="150"/>
      <c r="J70" s="141"/>
      <c r="K70" s="141"/>
      <c r="L70" s="142"/>
      <c r="M70" s="142"/>
      <c r="N70" s="295"/>
      <c r="O70" s="295"/>
      <c r="P70" s="142"/>
      <c r="Q70" s="296"/>
      <c r="R70" s="142"/>
      <c r="S70" s="142"/>
      <c r="T70" s="297"/>
      <c r="U70" s="141"/>
      <c r="V70" s="141"/>
      <c r="W70" s="142"/>
      <c r="X70" s="303">
        <f>+EECA_data_18!R11</f>
        <v>0.6</v>
      </c>
      <c r="Y70" s="142"/>
      <c r="Z70" s="141">
        <f>+F64</f>
        <v>1.3967093772495132</v>
      </c>
      <c r="AA70" s="141">
        <f>+G64</f>
        <v>1.4079922210878586</v>
      </c>
      <c r="AB70" s="298"/>
      <c r="AE70" s="299"/>
      <c r="AI70" s="304"/>
      <c r="AJ70" s="304"/>
      <c r="AK70" s="304"/>
      <c r="AL70" s="304"/>
      <c r="AM70" s="304"/>
    </row>
    <row r="71" spans="2:42" ht="15.75" customHeight="1">
      <c r="B71" s="369"/>
      <c r="C71" s="143" t="str">
        <f t="shared" ref="C71:C84" si="5">+E36</f>
        <v>T_C_CICEPET15</v>
      </c>
      <c r="D71" s="144" t="str">
        <f t="shared" si="1"/>
        <v>TRAPET</v>
      </c>
      <c r="E71" s="143" t="str">
        <f>+$E$9</f>
        <v>T_C_Car</v>
      </c>
      <c r="F71" s="258">
        <f>+EECA_data_15!H13</f>
        <v>0.22158279949800538</v>
      </c>
      <c r="G71" s="145">
        <f>EECA_data_18!J13</f>
        <v>0.22446549570454616</v>
      </c>
      <c r="H71" s="146">
        <f>+EECA_data_18!K13</f>
        <v>22.051404092999999</v>
      </c>
      <c r="I71" s="305"/>
      <c r="J71" s="145">
        <f>+EECA_data_15!J13*EECA_data_15!Q13</f>
        <v>0.46268499999999996</v>
      </c>
      <c r="K71" s="145">
        <f>EECA_data_18!L13*EECA_data_18!S13</f>
        <v>0.45012650567749657</v>
      </c>
      <c r="L71" s="146">
        <v>-1</v>
      </c>
      <c r="M71" s="145">
        <f>M68</f>
        <v>0.08</v>
      </c>
      <c r="N71" s="306">
        <f>+J71/M71/S71</f>
        <v>0.1290756245320264</v>
      </c>
      <c r="O71" s="306">
        <f t="shared" ref="O71:O82" si="6">+K71/M71/T71</f>
        <v>0.12412458902591952</v>
      </c>
      <c r="P71" s="146">
        <f>+EECA_data_18!M13</f>
        <v>33.896666666666661</v>
      </c>
      <c r="Q71" s="307">
        <f>+EECA_data_18!P13</f>
        <v>1.3430866666666668</v>
      </c>
      <c r="R71" s="146"/>
      <c r="S71" s="146">
        <f>+EECA_data_15!L13*EECA_data_15!Q13</f>
        <v>44.807549999999999</v>
      </c>
      <c r="T71" s="308">
        <f>+EECA_data_18!N13*EECA_data_18!S13</f>
        <v>45.330110376387807</v>
      </c>
      <c r="U71" s="145"/>
      <c r="V71" s="145">
        <v>0</v>
      </c>
      <c r="W71" s="146"/>
      <c r="X71" s="146"/>
      <c r="Y71" s="146"/>
      <c r="Z71" s="146"/>
      <c r="AA71" s="146"/>
      <c r="AB71" s="298"/>
      <c r="AC71" s="56"/>
      <c r="AD71" s="56"/>
      <c r="AE71" s="299"/>
      <c r="AI71" s="304"/>
      <c r="AJ71" s="304"/>
      <c r="AK71" s="304"/>
      <c r="AL71" s="304"/>
      <c r="AM71" s="304"/>
    </row>
    <row r="72" spans="2:42" ht="15.75" customHeight="1">
      <c r="B72" s="369"/>
      <c r="C72" s="143" t="str">
        <f t="shared" si="5"/>
        <v>T_C_CICEDSL15</v>
      </c>
      <c r="D72" s="144" t="str">
        <f t="shared" si="1"/>
        <v>TRADSL</v>
      </c>
      <c r="E72" s="143" t="str">
        <f t="shared" ref="E72:E75" si="7">+$E$9</f>
        <v>T_C_Car</v>
      </c>
      <c r="F72" s="258">
        <f>+EECA_data_15!H14</f>
        <v>0.24297541688957527</v>
      </c>
      <c r="G72" s="145">
        <f>EECA_data_18!J14</f>
        <v>0.24232912878138677</v>
      </c>
      <c r="H72" s="146">
        <f>EECA_data_18!K14</f>
        <v>15.784552846</v>
      </c>
      <c r="I72" s="305"/>
      <c r="J72" s="145">
        <f>+EECA_data_15!J14*EECA_data_15!Q14</f>
        <v>1.7479550000000001</v>
      </c>
      <c r="K72" s="145">
        <f>EECA_data_18!L14*EECA_data_18!S14</f>
        <v>2.1950286659214395</v>
      </c>
      <c r="L72" s="146">
        <v>-1</v>
      </c>
      <c r="M72" s="145">
        <f>M71</f>
        <v>0.08</v>
      </c>
      <c r="N72" s="306">
        <f>+J72/M72/S72</f>
        <v>0.20116790411897514</v>
      </c>
      <c r="O72" s="306">
        <f t="shared" si="6"/>
        <v>0.20286569808977026</v>
      </c>
      <c r="P72" s="146">
        <f>+EECA_data_18!M14</f>
        <v>50.400339083480681</v>
      </c>
      <c r="Q72" s="307">
        <f>+EECA_data_18!P14</f>
        <v>1.5396112737265695</v>
      </c>
      <c r="R72" s="146"/>
      <c r="S72" s="146">
        <f>+EECA_data_15!L14*EECA_data_15!Q14</f>
        <v>108.61293999999999</v>
      </c>
      <c r="T72" s="308">
        <f>+EECA_data_18!N14*EECA_data_18!S14</f>
        <v>135.25134402897649</v>
      </c>
      <c r="U72" s="145">
        <v>0</v>
      </c>
      <c r="V72" s="145"/>
      <c r="W72" s="146"/>
      <c r="X72" s="146"/>
      <c r="Y72" s="146"/>
      <c r="Z72" s="146"/>
      <c r="AA72" s="146"/>
      <c r="AB72" s="298"/>
      <c r="AC72" s="56"/>
      <c r="AD72" s="56"/>
      <c r="AE72" s="299"/>
      <c r="AI72" s="304"/>
      <c r="AJ72" s="304"/>
      <c r="AK72" s="304"/>
      <c r="AL72" s="304"/>
      <c r="AM72" s="304"/>
    </row>
    <row r="73" spans="2:42" ht="15.75" customHeight="1">
      <c r="B73" s="369"/>
      <c r="C73" s="143" t="str">
        <f t="shared" si="5"/>
        <v>T_C_CBEVNEW15</v>
      </c>
      <c r="D73" s="144" t="s">
        <v>55</v>
      </c>
      <c r="E73" s="143" t="str">
        <f t="shared" si="7"/>
        <v>T_C_Car</v>
      </c>
      <c r="F73" s="258">
        <f>+EECA_data_15!H15</f>
        <v>1.2845583191999705</v>
      </c>
      <c r="G73" s="145">
        <f>EECA_data_18!J15</f>
        <v>1.3286632211786189</v>
      </c>
      <c r="H73" s="146">
        <f>EECA_data_18!K15</f>
        <v>22.051404092999999</v>
      </c>
      <c r="I73" s="305"/>
      <c r="J73" s="145">
        <f>+EECA_data_15!J15*EECA_data_15!Q15</f>
        <v>3.0499999999999999E-4</v>
      </c>
      <c r="K73" s="145">
        <f>EECA_data_18!L15*EECA_data_18!S15</f>
        <v>2.6478029745735099E-3</v>
      </c>
      <c r="L73" s="146">
        <v>-1</v>
      </c>
      <c r="M73" s="145">
        <f t="shared" ref="M73:M83" si="8">M72</f>
        <v>0.08</v>
      </c>
      <c r="N73" s="306">
        <f>+J73/M73/S73</f>
        <v>0.52083333333333326</v>
      </c>
      <c r="O73" s="306">
        <f t="shared" si="6"/>
        <v>0.14398709875595148</v>
      </c>
      <c r="P73" s="146">
        <f>+EECA_data_18!M15</f>
        <v>70.708695652173915</v>
      </c>
      <c r="Q73" s="307">
        <f>+EECA_data_18!P15</f>
        <v>1.709806221731488</v>
      </c>
      <c r="R73" s="146"/>
      <c r="S73" s="146">
        <f>+EECA_data_15!L15*EECA_data_15!Q15</f>
        <v>7.3200000000000001E-3</v>
      </c>
      <c r="T73" s="308">
        <f>+EECA_data_18!N15*EECA_data_18!S15</f>
        <v>0.22986460223264163</v>
      </c>
      <c r="U73" s="145"/>
      <c r="V73" s="145">
        <v>0</v>
      </c>
      <c r="W73" s="146"/>
      <c r="X73" s="146"/>
      <c r="Y73" s="146"/>
      <c r="Z73" s="146"/>
      <c r="AA73" s="146"/>
      <c r="AB73" s="298"/>
      <c r="AC73" s="56"/>
      <c r="AD73" s="56"/>
      <c r="AE73" s="299"/>
      <c r="AI73" s="304"/>
      <c r="AJ73" s="304"/>
      <c r="AK73" s="304"/>
      <c r="AL73" s="304"/>
      <c r="AM73" s="304"/>
    </row>
    <row r="74" spans="2:42" ht="15.75" customHeight="1">
      <c r="B74" s="369"/>
      <c r="C74" s="143" t="str">
        <f t="shared" si="5"/>
        <v>T_C_CICELPG15</v>
      </c>
      <c r="D74" s="144" t="str">
        <f t="shared" si="1"/>
        <v>TRALPG</v>
      </c>
      <c r="E74" s="143" t="str">
        <f t="shared" si="7"/>
        <v>T_C_Car</v>
      </c>
      <c r="F74" s="258">
        <f>+EECA_data_15!H16</f>
        <v>0.30808183498335601</v>
      </c>
      <c r="G74" s="145">
        <f>EECA_data_18!J16</f>
        <v>0.3145699154482855</v>
      </c>
      <c r="H74" s="146">
        <f>EECA_data_18!K16</f>
        <v>22.051404092999999</v>
      </c>
      <c r="I74" s="305"/>
      <c r="J74" s="145">
        <f>+EECA_data_15!J16*EECA_data_15!Q16</f>
        <v>1.2199999999999999E-3</v>
      </c>
      <c r="K74" s="145">
        <f>EECA_data_18!L16*EECA_data_18!S16</f>
        <v>1.176801322032671E-3</v>
      </c>
      <c r="L74" s="146">
        <v>-1</v>
      </c>
      <c r="M74" s="145">
        <f t="shared" si="8"/>
        <v>0.08</v>
      </c>
      <c r="N74" s="306">
        <f>+J74/M74/S74</f>
        <v>0.17482517482517484</v>
      </c>
      <c r="O74" s="306">
        <f t="shared" si="6"/>
        <v>0.1588007368354189</v>
      </c>
      <c r="P74" s="146">
        <f>+EECA_data_18!M16</f>
        <v>36.718867983693947</v>
      </c>
      <c r="Q74" s="307">
        <f>+EECA_data_18!P16</f>
        <v>1.3430866666666668</v>
      </c>
      <c r="R74" s="146"/>
      <c r="S74" s="146">
        <f>+EECA_data_15!L16*EECA_data_15!Q16</f>
        <v>8.7229999999999988E-2</v>
      </c>
      <c r="T74" s="308">
        <f>+EECA_data_18!N16*EECA_data_18!S16</f>
        <v>9.2631916063801709E-2</v>
      </c>
      <c r="U74" s="145"/>
      <c r="V74" s="145">
        <v>0</v>
      </c>
      <c r="W74" s="146"/>
      <c r="X74" s="146"/>
      <c r="Y74" s="146"/>
      <c r="Z74" s="146"/>
      <c r="AA74" s="146"/>
      <c r="AB74" s="298"/>
      <c r="AC74" s="56"/>
      <c r="AD74" s="56"/>
      <c r="AE74" s="299"/>
      <c r="AI74" s="304"/>
      <c r="AJ74" s="304"/>
      <c r="AK74" s="304"/>
      <c r="AL74" s="304"/>
      <c r="AM74" s="304"/>
    </row>
    <row r="75" spans="2:42" ht="15.75" customHeight="1">
      <c r="B75" s="369"/>
      <c r="C75" s="143" t="str">
        <f t="shared" si="5"/>
        <v>T_C_CHYBPET15</v>
      </c>
      <c r="D75" s="144" t="str">
        <f t="shared" si="1"/>
        <v>TRAPET</v>
      </c>
      <c r="E75" s="143" t="str">
        <f t="shared" si="7"/>
        <v>T_C_Car</v>
      </c>
      <c r="F75" s="258">
        <f>+EECA_data_15!H17</f>
        <v>0.28050534446079667</v>
      </c>
      <c r="G75" s="145">
        <f>EECA_data_18!J17</f>
        <v>0.32080057540766083</v>
      </c>
      <c r="H75" s="146">
        <f>EECA_data_18!K17</f>
        <v>22.051404092999999</v>
      </c>
      <c r="I75" s="305"/>
      <c r="J75" s="309">
        <f>+N75*M75*S75</f>
        <v>1.2797202797202799E-5</v>
      </c>
      <c r="K75" s="309">
        <f>+O75*M75*T75</f>
        <v>3.8459269528413211E-5</v>
      </c>
      <c r="L75" s="146">
        <v>-1</v>
      </c>
      <c r="M75" s="145">
        <f t="shared" si="8"/>
        <v>0.08</v>
      </c>
      <c r="N75" s="301">
        <f>+N74</f>
        <v>0.17482517482517484</v>
      </c>
      <c r="O75" s="301">
        <f>+O74</f>
        <v>0.1588007368354189</v>
      </c>
      <c r="P75" s="146">
        <f>+EECA_data_18!M17</f>
        <v>38.539138979341075</v>
      </c>
      <c r="Q75" s="307">
        <f>+EECA_data_18!P17</f>
        <v>1.0997918790206931</v>
      </c>
      <c r="R75" s="146"/>
      <c r="S75" s="146">
        <f>+EECA_data_15!L17*EECA_data_15!Q17</f>
        <v>9.1500000000000001E-4</v>
      </c>
      <c r="T75" s="308">
        <f>+EECA_data_18!N17*EECA_data_18!S17</f>
        <v>3.0273214009290464E-3</v>
      </c>
      <c r="U75" s="145"/>
      <c r="V75" s="145">
        <v>0</v>
      </c>
      <c r="W75" s="146"/>
      <c r="X75" s="146"/>
      <c r="Y75" s="146"/>
      <c r="Z75" s="146"/>
      <c r="AA75" s="146"/>
      <c r="AB75" s="298"/>
      <c r="AC75" s="56"/>
      <c r="AD75" s="56"/>
      <c r="AE75" s="299"/>
      <c r="AI75" s="304"/>
      <c r="AJ75" s="304"/>
      <c r="AK75" s="304"/>
      <c r="AL75" s="304"/>
      <c r="AM75" s="304"/>
    </row>
    <row r="76" spans="2:42" ht="15.75" customHeight="1">
      <c r="C76" s="27" t="str">
        <f t="shared" si="5"/>
        <v>T_P_MICEPET15</v>
      </c>
      <c r="D76" s="26" t="str">
        <f t="shared" si="1"/>
        <v>TRAPET</v>
      </c>
      <c r="E76" s="27" t="str">
        <f>+$E$10</f>
        <v>T_P_Mcy</v>
      </c>
      <c r="F76" s="58">
        <f>+EECA_data_15!H25</f>
        <v>0.58423954516980703</v>
      </c>
      <c r="G76" s="25">
        <f>+EECA_data_18!J25</f>
        <v>0.58602989312730902</v>
      </c>
      <c r="H76" s="55">
        <f>+EECA_data_18!K25</f>
        <v>12.147264359999999</v>
      </c>
      <c r="I76" s="151"/>
      <c r="J76" s="25">
        <f>+EECA_data_15!J25*EECA_data_15!Q25</f>
        <v>0.11165000000000001</v>
      </c>
      <c r="K76" s="25">
        <f>+EECA_data_18!L25*EECA_data_18!S25</f>
        <v>0.11566618930402839</v>
      </c>
      <c r="L76" s="55">
        <v>-1</v>
      </c>
      <c r="M76" s="25">
        <f t="shared" si="8"/>
        <v>0.08</v>
      </c>
      <c r="N76" s="310">
        <f t="shared" ref="N76:N81" si="9">+J76/M76/S76</f>
        <v>3.2212609570477384E-2</v>
      </c>
      <c r="O76" s="310">
        <f t="shared" si="6"/>
        <v>3.0114676688831065E-2</v>
      </c>
      <c r="P76" s="55">
        <f>+EECA_data_18!M25</f>
        <v>10</v>
      </c>
      <c r="Q76" s="42">
        <f>+EECA_data_18!P25</f>
        <v>0.5</v>
      </c>
      <c r="R76" s="55"/>
      <c r="S76" s="55">
        <f>+EECA_data_15!L25*EECA_data_15!Q25</f>
        <v>43.325425000000003</v>
      </c>
      <c r="T76" s="152">
        <f>+EECA_data_18!N25*EECA_data_18!S25</f>
        <v>48.01072185631611</v>
      </c>
      <c r="U76" s="25">
        <v>0</v>
      </c>
      <c r="V76" s="25"/>
      <c r="W76" s="55"/>
      <c r="X76" s="55"/>
      <c r="Y76" s="55"/>
      <c r="Z76" s="55"/>
      <c r="AA76" s="55"/>
      <c r="AB76" s="298"/>
      <c r="AC76" s="56"/>
      <c r="AD76" s="56"/>
      <c r="AE76" s="299"/>
      <c r="AI76" s="304"/>
      <c r="AJ76" s="304"/>
      <c r="AK76" s="304"/>
      <c r="AL76" s="304"/>
      <c r="AM76" s="304"/>
    </row>
    <row r="77" spans="2:42" ht="15.75" customHeight="1">
      <c r="C77" s="135" t="str">
        <f t="shared" si="5"/>
        <v>T_P_BICEPET15</v>
      </c>
      <c r="D77" s="136" t="str">
        <f t="shared" si="1"/>
        <v>TRAPET</v>
      </c>
      <c r="E77" s="135" t="str">
        <f>+$E$11</f>
        <v>T_P_Bus</v>
      </c>
      <c r="F77" s="259">
        <f>+EECA_data_15!H22</f>
        <v>0.10688252747207665</v>
      </c>
      <c r="G77" s="137">
        <f>+EECA_data_18!J22</f>
        <v>0.10878530623606167</v>
      </c>
      <c r="H77" s="138">
        <f>+EECA_data_18!K22</f>
        <v>31</v>
      </c>
      <c r="I77" s="153"/>
      <c r="J77" s="137">
        <f>+EECA_data_15!J22*EECA_data_15!Q22</f>
        <v>3.2500000000000004E-4</v>
      </c>
      <c r="K77" s="137">
        <f>+EECA_data_18!L22*EECA_data_18!S22</f>
        <v>6.4870937415591689E-4</v>
      </c>
      <c r="L77" s="138">
        <v>-1</v>
      </c>
      <c r="M77" s="137">
        <f t="shared" si="8"/>
        <v>0.08</v>
      </c>
      <c r="N77" s="311">
        <f t="shared" si="9"/>
        <v>7.4404761904761904E-2</v>
      </c>
      <c r="O77" s="311">
        <f t="shared" si="6"/>
        <v>0.15835814277570151</v>
      </c>
      <c r="P77" s="138">
        <f>+EECA_data_18!M22</f>
        <v>0</v>
      </c>
      <c r="Q77" s="312">
        <f>+EECA_data_18!P22</f>
        <v>18.74419950494234</v>
      </c>
      <c r="R77" s="138"/>
      <c r="S77" s="138">
        <f>+EECA_data_15!L22*EECA_data_15!Q22</f>
        <v>5.4600000000000003E-2</v>
      </c>
      <c r="T77" s="313">
        <f>+EECA_data_18!N22*EECA_data_18!S22</f>
        <v>5.1205874448997303E-2</v>
      </c>
      <c r="U77" s="147"/>
      <c r="V77" s="147"/>
      <c r="W77" s="138">
        <v>0</v>
      </c>
      <c r="X77" s="138"/>
      <c r="Y77" s="138"/>
      <c r="Z77" s="138"/>
      <c r="AA77" s="138"/>
      <c r="AB77" s="298"/>
      <c r="AC77" s="56"/>
      <c r="AD77" s="56"/>
      <c r="AE77" s="299"/>
      <c r="AI77" s="304"/>
      <c r="AJ77" s="304"/>
      <c r="AK77" s="314"/>
      <c r="AL77" s="314"/>
      <c r="AM77" s="314"/>
      <c r="AN77" s="315"/>
      <c r="AO77" s="315"/>
      <c r="AP77" s="315"/>
    </row>
    <row r="78" spans="2:42" ht="15.75" customHeight="1">
      <c r="C78" s="135" t="str">
        <f t="shared" si="5"/>
        <v>T_P_BICEDSL15</v>
      </c>
      <c r="D78" s="136" t="str">
        <f t="shared" si="1"/>
        <v>TRADSL</v>
      </c>
      <c r="E78" s="135" t="str">
        <f t="shared" ref="E78:E79" si="10">+$E$11</f>
        <v>T_P_Bus</v>
      </c>
      <c r="F78" s="259">
        <f>+EECA_data_15!H23</f>
        <v>7.3140734768071314E-2</v>
      </c>
      <c r="G78" s="137">
        <f>+EECA_data_18!J23</f>
        <v>7.3200547754531456E-2</v>
      </c>
      <c r="H78" s="138">
        <f>+EECA_data_18!K23</f>
        <v>26.248000000000001</v>
      </c>
      <c r="I78" s="153"/>
      <c r="J78" s="137">
        <f>+EECA_data_15!J23*EECA_data_15!Q23</f>
        <v>8.5150000000000003E-2</v>
      </c>
      <c r="K78" s="137">
        <f>+EECA_data_18!L23*EECA_data_18!S23</f>
        <v>9.9252534245855284E-2</v>
      </c>
      <c r="L78" s="138">
        <v>-1</v>
      </c>
      <c r="M78" s="137">
        <f t="shared" si="8"/>
        <v>0.08</v>
      </c>
      <c r="N78" s="311">
        <f t="shared" si="9"/>
        <v>0.35835430572272681</v>
      </c>
      <c r="O78" s="311">
        <f t="shared" si="6"/>
        <v>0.34779177229231611</v>
      </c>
      <c r="P78" s="138">
        <f>+EECA_data_18!M23</f>
        <v>440</v>
      </c>
      <c r="Q78" s="312">
        <f>+EECA_data_18!P23</f>
        <v>18.74419950494234</v>
      </c>
      <c r="R78" s="138"/>
      <c r="S78" s="138">
        <f>+EECA_data_15!L23*EECA_data_15!Q23</f>
        <v>2.9701749999999998</v>
      </c>
      <c r="T78" s="313">
        <f>+EECA_data_18!N23*EECA_data_18!S23</f>
        <v>3.5672398742959035</v>
      </c>
      <c r="U78" s="147"/>
      <c r="V78" s="147"/>
      <c r="W78" s="138">
        <v>0</v>
      </c>
      <c r="X78" s="138"/>
      <c r="Y78" s="138"/>
      <c r="Z78" s="138"/>
      <c r="AA78" s="138"/>
      <c r="AB78" s="298"/>
      <c r="AC78" s="56"/>
      <c r="AD78" s="56"/>
      <c r="AE78" s="299"/>
      <c r="AI78" s="304"/>
      <c r="AJ78" s="304"/>
      <c r="AK78" s="304"/>
      <c r="AL78" s="304"/>
      <c r="AM78" s="304"/>
    </row>
    <row r="79" spans="2:42" ht="15.75" customHeight="1">
      <c r="C79" s="135" t="str">
        <f t="shared" si="5"/>
        <v>T_P_BBEVELC15</v>
      </c>
      <c r="D79" s="136" t="str">
        <f t="shared" si="1"/>
        <v>TRAELC</v>
      </c>
      <c r="E79" s="135" t="str">
        <f t="shared" si="10"/>
        <v>T_P_Bus</v>
      </c>
      <c r="F79" s="259">
        <f>+EECA_data_15!H24</f>
        <v>0.26019798353090839</v>
      </c>
      <c r="G79" s="137">
        <f>+EECA_data_18!J24</f>
        <v>0.26548125081615598</v>
      </c>
      <c r="H79" s="138">
        <f>+EECA_data_18!K24</f>
        <v>30</v>
      </c>
      <c r="I79" s="153"/>
      <c r="J79" s="137">
        <f>+EECA_data_15!J24*EECA_data_15!Q24</f>
        <v>6.5000000000000008E-4</v>
      </c>
      <c r="K79" s="137">
        <f>+EECA_data_18!L24*EECA_data_18!S24</f>
        <v>9.7306406123387533E-4</v>
      </c>
      <c r="L79" s="138">
        <v>-1</v>
      </c>
      <c r="M79" s="137">
        <f t="shared" si="8"/>
        <v>0.08</v>
      </c>
      <c r="N79" s="311">
        <f t="shared" si="9"/>
        <v>0.39062499999999994</v>
      </c>
      <c r="O79" s="311">
        <f t="shared" si="6"/>
        <v>0.43322550831792977</v>
      </c>
      <c r="P79" s="138">
        <f>+EECA_data_18!M24</f>
        <v>927.40800000000002</v>
      </c>
      <c r="Q79" s="312">
        <f>+EECA_data_18!P24</f>
        <v>17.224399545082154</v>
      </c>
      <c r="R79" s="316"/>
      <c r="S79" s="138">
        <f>+EECA_data_15!L24*EECA_data_15!Q24</f>
        <v>2.0800000000000003E-2</v>
      </c>
      <c r="T79" s="313">
        <f>+EECA_data_18!N24*EECA_data_18!S24</f>
        <v>2.8076141713468082E-2</v>
      </c>
      <c r="U79" s="147"/>
      <c r="V79" s="147"/>
      <c r="W79" s="138">
        <v>0</v>
      </c>
      <c r="X79" s="138"/>
      <c r="Y79" s="138"/>
      <c r="Z79" s="138"/>
      <c r="AA79" s="138"/>
      <c r="AB79" s="298"/>
      <c r="AC79" s="56"/>
      <c r="AD79" s="56"/>
      <c r="AE79" s="299"/>
    </row>
    <row r="80" spans="2:42" ht="15.75" customHeight="1">
      <c r="C80" s="260" t="str">
        <f t="shared" si="5"/>
        <v>T_F_MTICEPET15</v>
      </c>
      <c r="D80" s="261" t="str">
        <f t="shared" si="1"/>
        <v>TRAPET</v>
      </c>
      <c r="E80" s="260" t="str">
        <f>+$E$12</f>
        <v>T_F_MTrk</v>
      </c>
      <c r="F80" s="262">
        <f>+EECA_data_15!H18</f>
        <v>0.14021476092685786</v>
      </c>
      <c r="G80" s="263">
        <f>EECA_data_18!J18</f>
        <v>0.13638221628825251</v>
      </c>
      <c r="H80" s="265">
        <f>+EECA_data_18!K18</f>
        <v>34.774647887</v>
      </c>
      <c r="I80" s="264"/>
      <c r="J80" s="263">
        <f>+EECA_data_15!J18*EECA_data_15!Q18</f>
        <v>3.2669999999999995E-3</v>
      </c>
      <c r="K80" s="263">
        <f>EECA_data_18!L18*EECA_data_18!S18</f>
        <v>3.5462154197859691E-3</v>
      </c>
      <c r="L80" s="265">
        <v>-1</v>
      </c>
      <c r="M80" s="263">
        <f t="shared" si="8"/>
        <v>0.08</v>
      </c>
      <c r="N80" s="317">
        <f t="shared" si="9"/>
        <v>4.6374367622259688E-2</v>
      </c>
      <c r="O80" s="317">
        <f t="shared" si="6"/>
        <v>5.066985548957214E-2</v>
      </c>
      <c r="P80" s="265">
        <f>+EECA_data_18!M22</f>
        <v>0</v>
      </c>
      <c r="Q80" s="318">
        <f>+EECA_data_18!P18</f>
        <v>3.8013612509083341</v>
      </c>
      <c r="R80" s="265"/>
      <c r="S80" s="265">
        <f>+EECA_data_15!L18*EECA_data_15!Q18</f>
        <v>0.88060499999999997</v>
      </c>
      <c r="T80" s="319">
        <f>+EECA_data_18!N18*EECA_data_18!S18</f>
        <v>0.87483361298409967</v>
      </c>
      <c r="U80" s="266"/>
      <c r="V80" s="266"/>
      <c r="W80" s="265">
        <v>0</v>
      </c>
      <c r="X80" s="265"/>
      <c r="Y80" s="265"/>
      <c r="Z80" s="265"/>
      <c r="AA80" s="265"/>
      <c r="AB80" s="298"/>
      <c r="AC80" s="56"/>
      <c r="AD80" s="56"/>
      <c r="AE80" s="299"/>
      <c r="AL80" s="315"/>
      <c r="AM80" s="315"/>
      <c r="AN80" s="315"/>
      <c r="AO80" s="315"/>
      <c r="AP80" s="315"/>
    </row>
    <row r="81" spans="3:57" ht="15.75" customHeight="1">
      <c r="C81" s="260" t="str">
        <f t="shared" si="5"/>
        <v>T_F_MTICEDSL15</v>
      </c>
      <c r="D81" s="261" t="str">
        <f t="shared" si="1"/>
        <v>TRADSL</v>
      </c>
      <c r="E81" s="260" t="str">
        <f>+$E$12</f>
        <v>T_F_MTrk</v>
      </c>
      <c r="F81" s="262">
        <f>+EECA_data_15!H19</f>
        <v>0.13479584134353043</v>
      </c>
      <c r="G81" s="263">
        <f>EECA_data_18!J19</f>
        <v>0.13187233674282225</v>
      </c>
      <c r="H81" s="265">
        <f>+EECA_data_18!K19</f>
        <v>21.981385162999999</v>
      </c>
      <c r="I81" s="264"/>
      <c r="J81" s="263">
        <f>+EECA_data_15!J19*EECA_data_15!Q19</f>
        <v>0.24116400000000002</v>
      </c>
      <c r="K81" s="263">
        <f>EECA_data_18!L19*EECA_data_18!S19</f>
        <v>0.2641930487740547</v>
      </c>
      <c r="L81" s="265">
        <v>-1</v>
      </c>
      <c r="M81" s="263">
        <f t="shared" si="8"/>
        <v>0.08</v>
      </c>
      <c r="N81" s="317">
        <f t="shared" si="9"/>
        <v>0.12221406123947938</v>
      </c>
      <c r="O81" s="317">
        <f t="shared" si="6"/>
        <v>0.12071665182238935</v>
      </c>
      <c r="P81" s="265">
        <f>+EECA_data_18!M23</f>
        <v>440</v>
      </c>
      <c r="Q81" s="318">
        <f>+EECA_data_18!P19</f>
        <v>3.8013612509083341</v>
      </c>
      <c r="R81" s="265"/>
      <c r="S81" s="265">
        <f>+EECA_data_15!L19*EECA_data_15!Q19</f>
        <v>24.666146999999999</v>
      </c>
      <c r="T81" s="319">
        <f>+EECA_data_18!N19*EECA_data_18!S19</f>
        <v>27.356732147728309</v>
      </c>
      <c r="U81" s="266"/>
      <c r="V81" s="266">
        <v>0</v>
      </c>
      <c r="W81" s="265"/>
      <c r="X81" s="265"/>
      <c r="Y81" s="265"/>
      <c r="Z81" s="265"/>
      <c r="AA81" s="265"/>
      <c r="AB81" s="298"/>
      <c r="AC81" s="56"/>
      <c r="AD81" s="56"/>
      <c r="AE81" s="299"/>
    </row>
    <row r="82" spans="3:57" ht="15.75" customHeight="1">
      <c r="C82" s="260" t="str">
        <f t="shared" si="5"/>
        <v>T_F_MBEVELC15</v>
      </c>
      <c r="D82" s="261" t="str">
        <f t="shared" si="1"/>
        <v>TRAELC</v>
      </c>
      <c r="E82" s="260" t="str">
        <f>+$E$12</f>
        <v>T_F_MTrk</v>
      </c>
      <c r="F82" s="262">
        <f>+EECA_data_15!H20</f>
        <v>0.4206022071259739</v>
      </c>
      <c r="G82" s="263">
        <f>EECA_data_18!J20</f>
        <v>0.60056169190323494</v>
      </c>
      <c r="H82" s="265">
        <f>+EECA_data_18!K20</f>
        <v>21.981385162999999</v>
      </c>
      <c r="I82" s="264"/>
      <c r="J82" s="309">
        <f>+N82*M82*S82</f>
        <v>3.5585909417685125E-5</v>
      </c>
      <c r="K82" s="263">
        <f>EECA_data_18!L20*EECA_data_18!S20</f>
        <v>2.9551795164883078E-4</v>
      </c>
      <c r="L82" s="265">
        <v>-1</v>
      </c>
      <c r="M82" s="263">
        <f t="shared" si="8"/>
        <v>0.08</v>
      </c>
      <c r="N82" s="301">
        <f>+O82</f>
        <v>0.29954469206805662</v>
      </c>
      <c r="O82" s="317">
        <f t="shared" si="6"/>
        <v>0.29954469206805662</v>
      </c>
      <c r="P82" s="265">
        <f>+EECA_data_18!M24</f>
        <v>927.40800000000002</v>
      </c>
      <c r="Q82" s="318">
        <f>+EECA_data_18!P20</f>
        <v>3.4931427711049565</v>
      </c>
      <c r="R82" s="265"/>
      <c r="S82" s="265">
        <f>+EECA_data_15!L20*EECA_data_15!Q20</f>
        <v>1.485E-3</v>
      </c>
      <c r="T82" s="319">
        <f>+EECA_data_18!N20*EECA_data_18!S20</f>
        <v>1.2331964122305706E-2</v>
      </c>
      <c r="U82" s="266"/>
      <c r="V82" s="266">
        <v>0</v>
      </c>
      <c r="W82" s="265"/>
      <c r="X82" s="265"/>
      <c r="Y82" s="265"/>
      <c r="Z82" s="265"/>
      <c r="AA82" s="265"/>
      <c r="AB82" s="298"/>
      <c r="AC82" s="56"/>
      <c r="AD82" s="56"/>
      <c r="AE82" s="299"/>
    </row>
    <row r="83" spans="3:57" ht="15.75" customHeight="1">
      <c r="C83" s="267" t="str">
        <f t="shared" si="5"/>
        <v>T_F_HTICEDSL15</v>
      </c>
      <c r="D83" s="268" t="str">
        <f t="shared" si="1"/>
        <v>TRADSL</v>
      </c>
      <c r="E83" s="267" t="str">
        <f>E13</f>
        <v>T_F_HTrk</v>
      </c>
      <c r="F83" s="269">
        <f>+EECA_data_15!H21</f>
        <v>5.0548162725452636E-2</v>
      </c>
      <c r="G83" s="270">
        <f>EECA_data_18!J21</f>
        <v>4.913509719070084E-2</v>
      </c>
      <c r="H83" s="272">
        <f>+EECA_data_18!K21</f>
        <v>21.981385162999999</v>
      </c>
      <c r="I83" s="271"/>
      <c r="J83" s="270">
        <f>+ROUNDUP(EECA_data_15!J21*EECA_data_15!Q21,3)</f>
        <v>0.59199999999999997</v>
      </c>
      <c r="K83" s="270">
        <f>ROUNDUP(EECA_data_18!L21*EECA_data_18!S21,3)</f>
        <v>0.67100000000000004</v>
      </c>
      <c r="L83" s="272">
        <v>-1</v>
      </c>
      <c r="M83" s="270">
        <f t="shared" si="8"/>
        <v>0.08</v>
      </c>
      <c r="N83" s="320">
        <f>+ROUNDUP(J83/M83/S83,3)</f>
        <v>0.34</v>
      </c>
      <c r="O83" s="320">
        <f>+ROUNDUP(K83/M83/T83,3)</f>
        <v>0.34300000000000003</v>
      </c>
      <c r="P83" s="272">
        <f>+EECA_data_18!M21</f>
        <v>200</v>
      </c>
      <c r="Q83" s="321">
        <f>+EECA_data_18!P21</f>
        <v>16.444704017308972</v>
      </c>
      <c r="R83" s="272"/>
      <c r="S83" s="272">
        <f>+ROUNDUP(EECA_data_15!L21*EECA_data_15!Q21,3)</f>
        <v>21.808</v>
      </c>
      <c r="T83" s="322">
        <f>+ROUNDUP(EECA_data_18!N21*EECA_data_18!S21,3)</f>
        <v>24.522000000000002</v>
      </c>
      <c r="U83" s="273"/>
      <c r="V83" s="273">
        <v>0</v>
      </c>
      <c r="W83" s="272"/>
      <c r="X83" s="272"/>
      <c r="Y83" s="272"/>
      <c r="Z83" s="272"/>
      <c r="AA83" s="272"/>
      <c r="AB83" s="298"/>
      <c r="AC83" s="56"/>
      <c r="AD83" s="56"/>
      <c r="AE83" s="299"/>
      <c r="AK83" s="315"/>
      <c r="AL83" s="315"/>
      <c r="AM83" s="315"/>
      <c r="AN83" s="315"/>
      <c r="AO83" s="315"/>
      <c r="AP83" s="315"/>
    </row>
    <row r="84" spans="3:57" ht="15.75" customHeight="1">
      <c r="C84" s="27" t="str">
        <f t="shared" si="5"/>
        <v>T_F_DSHIPP15</v>
      </c>
      <c r="D84" s="26" t="s">
        <v>108</v>
      </c>
      <c r="E84" s="27" t="str">
        <f>+E16</f>
        <v>T_F_DSHIP</v>
      </c>
      <c r="F84" s="58"/>
      <c r="G84" s="25">
        <v>1</v>
      </c>
      <c r="H84" s="55">
        <v>60</v>
      </c>
      <c r="I84" s="151"/>
      <c r="J84" s="25">
        <f>+EECA_data_15!O32*EECA_data_15!Q32</f>
        <v>3.8910573447709011</v>
      </c>
      <c r="K84" s="25">
        <f>+EECA_data_18!Q32*EECA_data_18!S32</f>
        <v>2.4027775754842988</v>
      </c>
      <c r="L84" s="55"/>
      <c r="M84" s="25"/>
      <c r="N84" s="323">
        <v>1</v>
      </c>
      <c r="O84" s="323"/>
      <c r="P84" s="25"/>
      <c r="Q84" s="25"/>
      <c r="R84" s="25"/>
      <c r="S84" s="55"/>
      <c r="T84" s="152"/>
      <c r="U84" s="55"/>
      <c r="V84" s="55"/>
      <c r="W84" s="55"/>
      <c r="X84" s="323"/>
      <c r="Y84" s="55"/>
      <c r="Z84" s="55"/>
      <c r="AA84" s="55"/>
      <c r="AC84" s="56"/>
      <c r="AD84" s="56"/>
      <c r="AE84" s="299"/>
    </row>
    <row r="85" spans="3:57" ht="15.75" customHeight="1">
      <c r="C85" s="27" t="str">
        <f>+E50</f>
        <v>T_F_ISHIPP15</v>
      </c>
      <c r="D85" s="26" t="s">
        <v>108</v>
      </c>
      <c r="E85" s="27" t="str">
        <f>+E17</f>
        <v>T_F_ISHIP</v>
      </c>
      <c r="F85" s="58"/>
      <c r="G85" s="25">
        <v>1</v>
      </c>
      <c r="H85" s="55">
        <v>60</v>
      </c>
      <c r="I85" s="151"/>
      <c r="J85" s="25">
        <f>+EECA_data_15!O33*EECA_data_15!Q33</f>
        <v>3.0599395527913851</v>
      </c>
      <c r="K85" s="25">
        <f>+EECA_data_18!Q33*EECA_data_18!S33</f>
        <v>2.8963923568300607</v>
      </c>
      <c r="L85" s="25"/>
      <c r="M85" s="25"/>
      <c r="N85" s="323">
        <v>1</v>
      </c>
      <c r="O85" s="323"/>
      <c r="P85" s="25"/>
      <c r="Q85" s="25"/>
      <c r="R85" s="25"/>
      <c r="S85" s="55"/>
      <c r="T85" s="152"/>
      <c r="U85" s="55"/>
      <c r="V85" s="55"/>
      <c r="W85" s="55"/>
      <c r="X85" s="55"/>
      <c r="Y85" s="55"/>
      <c r="Z85" s="55"/>
      <c r="AA85" s="55"/>
      <c r="AC85" s="56"/>
      <c r="AD85" s="56"/>
      <c r="AE85" s="299"/>
      <c r="AW85" s="315"/>
      <c r="AX85" s="315"/>
      <c r="AY85" s="315"/>
      <c r="AZ85" s="56"/>
      <c r="BA85" s="56"/>
      <c r="BB85" s="56"/>
      <c r="BC85" s="56"/>
      <c r="BE85" s="56"/>
    </row>
    <row r="86" spans="3:57" ht="15.75" customHeight="1">
      <c r="C86" s="27" t="str">
        <f>+E51</f>
        <v>T_O_FuelJet</v>
      </c>
      <c r="D86" s="26" t="str">
        <f t="shared" ref="D86" si="11">"TRA"&amp;RIGHT(C86,3)</f>
        <v>TRAJet</v>
      </c>
      <c r="E86" s="27" t="str">
        <f>+E18</f>
        <v>T_O_JET</v>
      </c>
      <c r="F86" s="58"/>
      <c r="G86" s="25">
        <v>1</v>
      </c>
      <c r="H86" s="55">
        <v>60</v>
      </c>
      <c r="I86" s="151"/>
      <c r="J86" s="25">
        <f>+EECA_data_15!O26*EECA_data_15!Q26</f>
        <v>4.2202067999129724</v>
      </c>
      <c r="K86" s="25">
        <f>+EECA_data_18!Q26*EECA_data_18!S26</f>
        <v>5.5187570918086397</v>
      </c>
      <c r="L86" s="25"/>
      <c r="M86" s="25"/>
      <c r="N86" s="323">
        <v>1</v>
      </c>
      <c r="O86" s="323"/>
      <c r="P86" s="25"/>
      <c r="Q86" s="25"/>
      <c r="R86" s="25"/>
      <c r="S86" s="55"/>
      <c r="T86" s="152"/>
      <c r="U86" s="55"/>
      <c r="V86" s="55"/>
      <c r="W86" s="55"/>
      <c r="X86" s="55"/>
      <c r="Y86" s="55"/>
      <c r="Z86" s="55"/>
      <c r="AA86" s="55"/>
      <c r="AC86" s="56"/>
      <c r="AD86" s="56"/>
      <c r="AE86" s="299"/>
      <c r="AZ86" s="56"/>
      <c r="BA86" s="56"/>
      <c r="BB86" s="56"/>
      <c r="BC86" s="56"/>
      <c r="BE86" s="56"/>
    </row>
    <row r="87" spans="3:57" ht="15.75" customHeight="1">
      <c r="C87" s="27" t="str">
        <f>+E52</f>
        <v>T_O_FuelJet_Int</v>
      </c>
      <c r="D87" s="27" t="s">
        <v>166</v>
      </c>
      <c r="E87" s="27" t="str">
        <f>+E19</f>
        <v>T_O_JET_Int</v>
      </c>
      <c r="F87" s="58"/>
      <c r="G87" s="25">
        <v>1</v>
      </c>
      <c r="H87" s="55">
        <v>60</v>
      </c>
      <c r="I87" s="151"/>
      <c r="J87" s="25">
        <f>+EECA_data_15!O27*EECA_data_15!Q27</f>
        <v>8.0713324457249893</v>
      </c>
      <c r="K87" s="25">
        <f>+EECA_data_18!Q27*EECA_data_18!S27</f>
        <v>11.429025798843908</v>
      </c>
      <c r="L87" s="25"/>
      <c r="M87" s="25"/>
      <c r="N87" s="323">
        <v>1</v>
      </c>
      <c r="O87" s="323"/>
      <c r="P87" s="25"/>
      <c r="Q87" s="25"/>
      <c r="R87" s="25"/>
      <c r="S87" s="55"/>
      <c r="T87" s="152"/>
      <c r="U87" s="55"/>
      <c r="V87" s="55"/>
      <c r="W87" s="55"/>
      <c r="X87" s="55"/>
      <c r="Y87" s="55"/>
      <c r="Z87" s="55"/>
      <c r="AA87" s="55"/>
      <c r="AC87" s="56"/>
      <c r="AD87" s="56"/>
      <c r="AE87" s="299"/>
      <c r="AW87" s="315"/>
      <c r="AX87" s="315"/>
      <c r="AY87" s="315"/>
      <c r="BE87" s="56"/>
    </row>
    <row r="88" spans="3:57" ht="15.75" customHeight="1">
      <c r="C88" s="27" t="s">
        <v>170</v>
      </c>
      <c r="D88" s="27" t="s">
        <v>64</v>
      </c>
      <c r="E88" s="27" t="s">
        <v>188</v>
      </c>
      <c r="F88" s="58"/>
      <c r="G88" s="25">
        <v>1</v>
      </c>
      <c r="H88" s="55">
        <v>60</v>
      </c>
      <c r="I88" s="151"/>
      <c r="J88" s="25">
        <v>1.64</v>
      </c>
      <c r="K88" s="25">
        <v>1.23</v>
      </c>
      <c r="L88" s="25"/>
      <c r="M88" s="25"/>
      <c r="N88" s="323">
        <v>1</v>
      </c>
      <c r="O88" s="323"/>
      <c r="P88" s="25"/>
      <c r="Q88" s="25"/>
      <c r="R88" s="25"/>
      <c r="S88" s="55"/>
      <c r="T88" s="152"/>
      <c r="U88" s="55"/>
      <c r="V88" s="55"/>
      <c r="W88" s="55"/>
      <c r="X88" s="25">
        <v>0.98</v>
      </c>
      <c r="Y88" s="25">
        <v>3</v>
      </c>
      <c r="Z88" s="25"/>
      <c r="AA88" s="25"/>
      <c r="AC88" s="56"/>
      <c r="AD88" s="56"/>
      <c r="AE88" s="299"/>
    </row>
    <row r="89" spans="3:57" ht="15.75" customHeight="1">
      <c r="C89" s="27"/>
      <c r="D89" s="27" t="s">
        <v>55</v>
      </c>
      <c r="E89" s="27"/>
      <c r="F89" s="58"/>
      <c r="G89" s="25"/>
      <c r="H89" s="55"/>
      <c r="I89" s="151"/>
      <c r="J89" s="25"/>
      <c r="K89" s="25"/>
      <c r="L89" s="25"/>
      <c r="M89" s="25"/>
      <c r="N89" s="323"/>
      <c r="O89" s="55"/>
      <c r="P89" s="55"/>
      <c r="Q89" s="55"/>
      <c r="R89" s="55"/>
      <c r="S89" s="55"/>
      <c r="T89" s="152"/>
      <c r="U89" s="55"/>
      <c r="V89" s="55"/>
      <c r="W89" s="55"/>
      <c r="X89" s="25">
        <v>0.02</v>
      </c>
      <c r="Y89" s="25">
        <v>3</v>
      </c>
      <c r="Z89" s="25"/>
      <c r="AA89" s="25"/>
      <c r="AC89" s="56"/>
      <c r="AD89" s="56"/>
      <c r="AE89" s="299"/>
      <c r="AL89" s="315"/>
      <c r="AM89" s="315"/>
      <c r="AN89" s="315"/>
      <c r="AO89" s="315"/>
      <c r="AP89" s="315"/>
    </row>
    <row r="90" spans="3:57" ht="15.75" customHeight="1">
      <c r="C90" s="25" t="s">
        <v>179</v>
      </c>
      <c r="D90" s="25" t="s">
        <v>55</v>
      </c>
      <c r="E90" s="25" t="s">
        <v>178</v>
      </c>
      <c r="F90" s="25"/>
      <c r="G90" s="25">
        <v>1</v>
      </c>
      <c r="H90" s="25">
        <v>60</v>
      </c>
      <c r="I90" s="25"/>
      <c r="J90" s="25">
        <v>0.23</v>
      </c>
      <c r="K90" s="25">
        <v>0.26</v>
      </c>
      <c r="L90" s="25"/>
      <c r="M90" s="25"/>
      <c r="N90" s="25">
        <v>1</v>
      </c>
      <c r="O90" s="25"/>
      <c r="P90" s="25"/>
      <c r="Q90" s="25"/>
      <c r="R90" s="25"/>
      <c r="S90" s="25"/>
      <c r="T90" s="25"/>
      <c r="U90" s="25"/>
      <c r="V90" s="25"/>
      <c r="W90" s="25"/>
      <c r="X90" s="25">
        <v>0.62</v>
      </c>
      <c r="Y90" s="25">
        <v>3</v>
      </c>
      <c r="Z90" s="25"/>
      <c r="AA90" s="25"/>
    </row>
    <row r="91" spans="3:57" ht="15.75" customHeight="1">
      <c r="C91" s="25"/>
      <c r="D91" s="25" t="s">
        <v>64</v>
      </c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>
        <v>0.38</v>
      </c>
      <c r="Y91" s="25">
        <v>3</v>
      </c>
      <c r="Z91" s="25"/>
      <c r="AA91" s="25"/>
    </row>
    <row r="92" spans="3:57" ht="15.75" customHeight="1">
      <c r="AL92" s="315"/>
      <c r="AM92" s="315"/>
      <c r="AO92" s="315"/>
      <c r="AP92" s="315"/>
    </row>
    <row r="93" spans="3:57" ht="15.75" customHeight="1">
      <c r="C93" s="44" t="s">
        <v>154</v>
      </c>
      <c r="D93" s="45"/>
    </row>
    <row r="94" spans="3:57" ht="15.75" customHeight="1">
      <c r="C94" s="46" t="s">
        <v>0</v>
      </c>
      <c r="D94" s="47" t="s">
        <v>325</v>
      </c>
      <c r="E94" s="47" t="s">
        <v>326</v>
      </c>
      <c r="F94" s="47">
        <v>2018</v>
      </c>
      <c r="G94" s="47">
        <v>2021</v>
      </c>
      <c r="H94" s="47">
        <v>2025</v>
      </c>
      <c r="I94" s="47">
        <v>2030</v>
      </c>
      <c r="J94" s="47">
        <v>2035</v>
      </c>
      <c r="K94" s="47">
        <v>2040</v>
      </c>
      <c r="L94" s="47">
        <v>2045</v>
      </c>
      <c r="M94" s="47">
        <v>2050</v>
      </c>
      <c r="N94" s="47">
        <v>2055</v>
      </c>
      <c r="O94" s="47">
        <v>2060</v>
      </c>
    </row>
    <row r="95" spans="3:57" ht="15.75" customHeight="1">
      <c r="C95" s="45" t="str">
        <f t="shared" ref="C95:C100" si="12">+E8</f>
        <v>T_P_Car</v>
      </c>
      <c r="D95" s="54">
        <f t="shared" ref="D95:D105" si="13">+SUMIF($E$62:$E$89,C95,$J$62:$J$89)</f>
        <v>8.1211349999999989</v>
      </c>
      <c r="E95" s="286">
        <f>+D95*2/3+F95*1/3</f>
        <v>8.5209696962958503</v>
      </c>
      <c r="F95" s="54">
        <f t="shared" ref="F95:F105" si="14">+SUMIF($E$62:$E$89,C95,$K$62:$K$89)</f>
        <v>9.3206390888875568</v>
      </c>
      <c r="G95" s="54">
        <f>+Demand_proj!V2</f>
        <v>9.9</v>
      </c>
      <c r="H95" s="54">
        <f>+Demand_proj!W2</f>
        <v>10.8</v>
      </c>
      <c r="I95" s="54">
        <f>+Demand_proj!X2</f>
        <v>12.05</v>
      </c>
      <c r="J95" s="54">
        <f>+Demand_proj!Y2</f>
        <v>13.2</v>
      </c>
      <c r="K95" s="54">
        <f>+Demand_proj!Z2</f>
        <v>13.98</v>
      </c>
      <c r="L95" s="54">
        <f>+Demand_proj!AA2</f>
        <v>14.88</v>
      </c>
      <c r="M95" s="54">
        <f>+Demand_proj!AB2</f>
        <v>15.84</v>
      </c>
      <c r="N95" s="54">
        <f>+Demand_proj!AC2</f>
        <v>16.68</v>
      </c>
      <c r="O95" s="54">
        <f>+Demand_proj!AD2</f>
        <v>17.46</v>
      </c>
      <c r="AL95" s="315"/>
      <c r="AM95" s="315"/>
      <c r="AO95" s="315"/>
      <c r="AP95" s="315"/>
    </row>
    <row r="96" spans="3:57" ht="15.75" customHeight="1">
      <c r="C96" s="45" t="str">
        <f t="shared" si="12"/>
        <v>T_C_Car</v>
      </c>
      <c r="D96" s="54">
        <f t="shared" si="13"/>
        <v>2.2121777972027972</v>
      </c>
      <c r="E96" s="286">
        <f t="shared" ref="E96:E106" si="15">+D96*2/3+F96*1/3</f>
        <v>2.3577912765235549</v>
      </c>
      <c r="F96" s="54">
        <f t="shared" si="14"/>
        <v>2.6490182351650708</v>
      </c>
      <c r="G96" s="54">
        <f>+Demand_proj!V3</f>
        <v>2.95</v>
      </c>
      <c r="H96" s="54">
        <f>+Demand_proj!W3</f>
        <v>3.31</v>
      </c>
      <c r="I96" s="54">
        <f>+Demand_proj!X3</f>
        <v>3.83</v>
      </c>
      <c r="J96" s="54">
        <f>+Demand_proj!Y3</f>
        <v>4.3600000000000003</v>
      </c>
      <c r="K96" s="54">
        <f>+Demand_proj!Z3</f>
        <v>4.82</v>
      </c>
      <c r="L96" s="54">
        <f>+Demand_proj!AA3</f>
        <v>5.36</v>
      </c>
      <c r="M96" s="54">
        <f>+Demand_proj!AB3</f>
        <v>5.94</v>
      </c>
      <c r="N96" s="54">
        <f>+Demand_proj!AC3</f>
        <v>6.49</v>
      </c>
      <c r="O96" s="54">
        <f>+Demand_proj!AD3</f>
        <v>7.01</v>
      </c>
    </row>
    <row r="97" spans="3:31" ht="15.75" customHeight="1">
      <c r="C97" s="45" t="str">
        <f t="shared" si="12"/>
        <v>T_P_Mcy</v>
      </c>
      <c r="D97" s="54">
        <f t="shared" si="13"/>
        <v>0.11165000000000001</v>
      </c>
      <c r="E97" s="286">
        <f t="shared" si="15"/>
        <v>0.11298872976800947</v>
      </c>
      <c r="F97" s="54">
        <f t="shared" si="14"/>
        <v>0.11566618930402839</v>
      </c>
      <c r="G97" s="54">
        <f>+Demand_proj!V6</f>
        <v>0.12</v>
      </c>
      <c r="H97" s="54">
        <f>+Demand_proj!W6</f>
        <v>0.13</v>
      </c>
      <c r="I97" s="54">
        <f>+Demand_proj!X6</f>
        <v>0.14000000000000001</v>
      </c>
      <c r="J97" s="54">
        <f>+Demand_proj!Y6</f>
        <v>0.14000000000000001</v>
      </c>
      <c r="K97" s="54">
        <f>+Demand_proj!Z6</f>
        <v>0.14000000000000001</v>
      </c>
      <c r="L97" s="54">
        <f>+Demand_proj!AA6</f>
        <v>0.14000000000000001</v>
      </c>
      <c r="M97" s="54">
        <f>+Demand_proj!AB6</f>
        <v>0.14000000000000001</v>
      </c>
      <c r="N97" s="54">
        <f>+Demand_proj!AC6</f>
        <v>0.15</v>
      </c>
      <c r="O97" s="54">
        <f>+Demand_proj!AD6</f>
        <v>0.15</v>
      </c>
    </row>
    <row r="98" spans="3:31" ht="15.75" customHeight="1">
      <c r="C98" s="45" t="str">
        <f t="shared" si="12"/>
        <v>T_P_Bus</v>
      </c>
      <c r="D98" s="54">
        <f t="shared" si="13"/>
        <v>8.6125000000000007E-2</v>
      </c>
      <c r="E98" s="286">
        <f t="shared" si="15"/>
        <v>9.1041435893748357E-2</v>
      </c>
      <c r="F98" s="54">
        <f t="shared" si="14"/>
        <v>0.10087430768124507</v>
      </c>
      <c r="G98" s="54">
        <f>+Demand_proj!V7</f>
        <v>0.11</v>
      </c>
      <c r="H98" s="54">
        <f>+Demand_proj!W7</f>
        <v>0.13</v>
      </c>
      <c r="I98" s="54">
        <f>+Demand_proj!X7</f>
        <v>0.15</v>
      </c>
      <c r="J98" s="54">
        <f>+Demand_proj!Y7</f>
        <v>0.18</v>
      </c>
      <c r="K98" s="54">
        <f>+Demand_proj!Z7</f>
        <v>0.2</v>
      </c>
      <c r="L98" s="54">
        <f>+Demand_proj!AA7</f>
        <v>0.22</v>
      </c>
      <c r="M98" s="54">
        <f>+Demand_proj!AB7</f>
        <v>0.25</v>
      </c>
      <c r="N98" s="54">
        <f>+Demand_proj!AC7</f>
        <v>0.28000000000000003</v>
      </c>
      <c r="O98" s="54">
        <f>+Demand_proj!AD7</f>
        <v>0.3</v>
      </c>
    </row>
    <row r="99" spans="3:31" ht="15.75" customHeight="1">
      <c r="C99" s="45" t="str">
        <f t="shared" si="12"/>
        <v>T_F_MTrk</v>
      </c>
      <c r="D99" s="54">
        <f t="shared" si="13"/>
        <v>0.24446658590941769</v>
      </c>
      <c r="E99" s="286">
        <f t="shared" si="15"/>
        <v>0.2523226513214416</v>
      </c>
      <c r="F99" s="54">
        <f t="shared" si="14"/>
        <v>0.26803478214548948</v>
      </c>
      <c r="G99" s="54">
        <f>+Demand_proj!V4</f>
        <v>0.27</v>
      </c>
      <c r="H99" s="54">
        <f>+Demand_proj!W4</f>
        <v>0.28999999999999998</v>
      </c>
      <c r="I99" s="54">
        <f>+Demand_proj!X4</f>
        <v>0.31</v>
      </c>
      <c r="J99" s="54">
        <f>+Demand_proj!Y4</f>
        <v>0.32</v>
      </c>
      <c r="K99" s="54">
        <f>+Demand_proj!Z4</f>
        <v>0.33</v>
      </c>
      <c r="L99" s="54">
        <f>+Demand_proj!AA4</f>
        <v>0.33</v>
      </c>
      <c r="M99" s="54">
        <f>+Demand_proj!AB4</f>
        <v>0.34</v>
      </c>
      <c r="N99" s="54">
        <f>+Demand_proj!AC4</f>
        <v>0.34</v>
      </c>
      <c r="O99" s="54">
        <f>+Demand_proj!AD4</f>
        <v>0.34</v>
      </c>
    </row>
    <row r="100" spans="3:31" ht="15.75" customHeight="1">
      <c r="C100" s="45" t="str">
        <f t="shared" si="12"/>
        <v>T_F_HTrk</v>
      </c>
      <c r="D100" s="54">
        <f t="shared" si="13"/>
        <v>0.59199999999999997</v>
      </c>
      <c r="E100" s="286">
        <f t="shared" si="15"/>
        <v>0.6183333333333334</v>
      </c>
      <c r="F100" s="54">
        <f t="shared" si="14"/>
        <v>0.67100000000000004</v>
      </c>
      <c r="G100" s="54">
        <f>+Demand_proj!V5</f>
        <v>0.67</v>
      </c>
      <c r="H100" s="54">
        <f>+Demand_proj!W5</f>
        <v>0.72</v>
      </c>
      <c r="I100" s="54">
        <f>+Demand_proj!X5</f>
        <v>0.77</v>
      </c>
      <c r="J100" s="54">
        <f>+Demand_proj!Y5</f>
        <v>0.81</v>
      </c>
      <c r="K100" s="54">
        <f>+Demand_proj!Z5</f>
        <v>0.82</v>
      </c>
      <c r="L100" s="54">
        <f>+Demand_proj!AA5</f>
        <v>0.83</v>
      </c>
      <c r="M100" s="54">
        <f>+Demand_proj!AB5</f>
        <v>0.85</v>
      </c>
      <c r="N100" s="54">
        <f>+Demand_proj!AC5</f>
        <v>0.85</v>
      </c>
      <c r="O100" s="54">
        <f>+Demand_proj!AD5</f>
        <v>0.85</v>
      </c>
    </row>
    <row r="101" spans="3:31" ht="15.75" customHeight="1">
      <c r="C101" s="45" t="str">
        <f>+E16</f>
        <v>T_F_DSHIP</v>
      </c>
      <c r="D101" s="54">
        <f t="shared" si="13"/>
        <v>3.8910573447709011</v>
      </c>
      <c r="E101" s="286">
        <f t="shared" si="15"/>
        <v>3.3949640883420336</v>
      </c>
      <c r="F101" s="54">
        <f t="shared" si="14"/>
        <v>2.4027775754842988</v>
      </c>
      <c r="G101" s="54">
        <f>+Demand_proj!V8</f>
        <v>2.4900000000000002</v>
      </c>
      <c r="H101" s="54">
        <f>+Demand_proj!W8</f>
        <v>2.59</v>
      </c>
      <c r="I101" s="54">
        <f>+Demand_proj!X8</f>
        <v>2.68</v>
      </c>
      <c r="J101" s="54">
        <f>+Demand_proj!Y8</f>
        <v>2.78</v>
      </c>
      <c r="K101" s="54">
        <f>+Demand_proj!Z8</f>
        <v>2.89</v>
      </c>
      <c r="L101" s="54">
        <f>+Demand_proj!AA8</f>
        <v>3</v>
      </c>
      <c r="M101" s="54">
        <f>+Demand_proj!AB8</f>
        <v>3.11</v>
      </c>
      <c r="N101" s="54">
        <f>+Demand_proj!AC8</f>
        <v>3.22</v>
      </c>
      <c r="O101" s="54">
        <f>+Demand_proj!AD8</f>
        <v>3.34</v>
      </c>
    </row>
    <row r="102" spans="3:31" ht="15.75" customHeight="1">
      <c r="C102" s="45" t="str">
        <f>+E17</f>
        <v>T_F_ISHIP</v>
      </c>
      <c r="D102" s="54">
        <f t="shared" si="13"/>
        <v>3.0599395527913851</v>
      </c>
      <c r="E102" s="286">
        <f t="shared" si="15"/>
        <v>3.0054238208042769</v>
      </c>
      <c r="F102" s="54">
        <f t="shared" si="14"/>
        <v>2.8963923568300607</v>
      </c>
      <c r="G102" s="54">
        <f>+Demand_proj!V9</f>
        <v>2.73</v>
      </c>
      <c r="H102" s="54">
        <f>+Demand_proj!W9</f>
        <v>2.98</v>
      </c>
      <c r="I102" s="54">
        <f>+Demand_proj!X9</f>
        <v>3.36</v>
      </c>
      <c r="J102" s="54">
        <f>+Demand_proj!Y9</f>
        <v>3.84</v>
      </c>
      <c r="K102" s="54">
        <f>+Demand_proj!Z9</f>
        <v>4.1500000000000004</v>
      </c>
      <c r="L102" s="54">
        <f>+Demand_proj!AA9</f>
        <v>4.45</v>
      </c>
      <c r="M102" s="54">
        <f>+Demand_proj!AB9</f>
        <v>4.6900000000000004</v>
      </c>
      <c r="N102" s="54">
        <f>+Demand_proj!AC9</f>
        <v>4.9400000000000004</v>
      </c>
      <c r="O102" s="54">
        <f>+Demand_proj!AD9</f>
        <v>5.2</v>
      </c>
      <c r="AD102" s="315"/>
    </row>
    <row r="103" spans="3:31" ht="15.75" customHeight="1">
      <c r="C103" s="45" t="str">
        <f>+E18</f>
        <v>T_O_JET</v>
      </c>
      <c r="D103" s="54">
        <f t="shared" si="13"/>
        <v>4.2202067999129724</v>
      </c>
      <c r="E103" s="286">
        <f t="shared" si="15"/>
        <v>4.6530568972115276</v>
      </c>
      <c r="F103" s="54">
        <f t="shared" si="14"/>
        <v>5.5187570918086397</v>
      </c>
      <c r="G103" s="54">
        <f>+Demand_proj!V10</f>
        <v>5.97</v>
      </c>
      <c r="H103" s="54">
        <f>+Demand_proj!W10</f>
        <v>6.82</v>
      </c>
      <c r="I103" s="54">
        <f>+Demand_proj!X10</f>
        <v>8.01</v>
      </c>
      <c r="J103" s="54">
        <f>+Demand_proj!Y10</f>
        <v>9.33</v>
      </c>
      <c r="K103" s="54">
        <f>+Demand_proj!Z10</f>
        <v>10.29</v>
      </c>
      <c r="L103" s="54">
        <f>+Demand_proj!AA10</f>
        <v>11.36</v>
      </c>
      <c r="M103" s="54">
        <f>+Demand_proj!AB10</f>
        <v>12.54</v>
      </c>
      <c r="N103" s="54">
        <f>+Demand_proj!AC10</f>
        <v>13.09</v>
      </c>
      <c r="O103" s="54">
        <f>+Demand_proj!AD10</f>
        <v>13.67</v>
      </c>
    </row>
    <row r="104" spans="3:31" ht="15.75" customHeight="1">
      <c r="C104" s="45" t="str">
        <f>+E19</f>
        <v>T_O_JET_Int</v>
      </c>
      <c r="D104" s="54">
        <f t="shared" si="13"/>
        <v>8.0713324457249893</v>
      </c>
      <c r="E104" s="286">
        <f t="shared" si="15"/>
        <v>9.1905635634312954</v>
      </c>
      <c r="F104" s="54">
        <f t="shared" si="14"/>
        <v>11.429025798843908</v>
      </c>
      <c r="G104" s="54">
        <f>+Demand_proj!V11</f>
        <v>12.36</v>
      </c>
      <c r="H104" s="54">
        <f>+Demand_proj!W11</f>
        <v>14.02</v>
      </c>
      <c r="I104" s="54">
        <f>+Demand_proj!X11</f>
        <v>16.600000000000001</v>
      </c>
      <c r="J104" s="54">
        <f>+Demand_proj!Y11</f>
        <v>19.55</v>
      </c>
      <c r="K104" s="54">
        <f>+Demand_proj!Z11</f>
        <v>21.71</v>
      </c>
      <c r="L104" s="54">
        <f>+Demand_proj!AA11</f>
        <v>24.16</v>
      </c>
      <c r="M104" s="54">
        <f>+Demand_proj!AB11</f>
        <v>26.89</v>
      </c>
      <c r="N104" s="54">
        <f>+Demand_proj!AC11</f>
        <v>28.21</v>
      </c>
      <c r="O104" s="54">
        <f>+Demand_proj!AD11</f>
        <v>29.58</v>
      </c>
      <c r="AD104" s="315"/>
    </row>
    <row r="105" spans="3:31" ht="15.75" customHeight="1">
      <c r="C105" s="45" t="str">
        <f>+E88</f>
        <v>T_F_Rail</v>
      </c>
      <c r="D105" s="54">
        <f t="shared" si="13"/>
        <v>1.64</v>
      </c>
      <c r="E105" s="286">
        <f t="shared" si="15"/>
        <v>1.5033333333333332</v>
      </c>
      <c r="F105" s="54">
        <f t="shared" si="14"/>
        <v>1.23</v>
      </c>
      <c r="G105" s="54">
        <f>+Demand_proj!V12</f>
        <v>0.4</v>
      </c>
      <c r="H105" s="54">
        <f>+Demand_proj!W12</f>
        <v>0.41</v>
      </c>
      <c r="I105" s="54">
        <f>+Demand_proj!X12</f>
        <v>0.44</v>
      </c>
      <c r="J105" s="54">
        <f>+Demand_proj!Y12</f>
        <v>0.46</v>
      </c>
      <c r="K105" s="54">
        <f>+Demand_proj!Z12</f>
        <v>0.48</v>
      </c>
      <c r="L105" s="54">
        <f>+Demand_proj!AA12</f>
        <v>0.49</v>
      </c>
      <c r="M105" s="54">
        <f>+Demand_proj!AB12</f>
        <v>0.5</v>
      </c>
      <c r="N105" s="54">
        <f>+Demand_proj!AC12</f>
        <v>0.5</v>
      </c>
      <c r="O105" s="54">
        <f>+Demand_proj!AD12</f>
        <v>0.51</v>
      </c>
    </row>
    <row r="106" spans="3:31" ht="15.75" customHeight="1">
      <c r="C106" s="45" t="str">
        <f>+E90</f>
        <v>T_P_Rail</v>
      </c>
      <c r="D106" s="54">
        <f>+SUMIF($E$62:$E$91,C106,$J$62:$J$91)</f>
        <v>0.23</v>
      </c>
      <c r="E106" s="286">
        <f t="shared" si="15"/>
        <v>0.24000000000000002</v>
      </c>
      <c r="F106" s="54">
        <f>+SUMIF($E$62:$E$91,C106,$K$62:$K$91)</f>
        <v>0.26</v>
      </c>
      <c r="G106" s="342">
        <f>Demand_proj!V13</f>
        <v>0</v>
      </c>
      <c r="H106" s="342">
        <f>Demand_proj!W13</f>
        <v>0</v>
      </c>
      <c r="I106" s="342">
        <f>Demand_proj!X13</f>
        <v>0</v>
      </c>
      <c r="J106" s="342">
        <f>Demand_proj!Y13</f>
        <v>0</v>
      </c>
      <c r="K106" s="342">
        <f>Demand_proj!Z13</f>
        <v>0</v>
      </c>
      <c r="L106" s="342">
        <f>Demand_proj!AA13</f>
        <v>0</v>
      </c>
      <c r="M106" s="342">
        <f>Demand_proj!AB13</f>
        <v>0</v>
      </c>
      <c r="N106" s="342">
        <f>Demand_proj!AC13</f>
        <v>0</v>
      </c>
      <c r="O106" s="342">
        <f>Demand_proj!AD13</f>
        <v>0</v>
      </c>
    </row>
    <row r="107" spans="3:31" ht="15.75" customHeight="1">
      <c r="C107" s="45"/>
      <c r="D107" s="54"/>
      <c r="E107" s="54"/>
      <c r="F107" s="54"/>
      <c r="G107" s="54"/>
      <c r="H107" s="54"/>
      <c r="I107" s="54"/>
      <c r="J107" s="54"/>
      <c r="K107" s="54"/>
      <c r="L107" s="54"/>
      <c r="AD107" s="315"/>
    </row>
    <row r="108" spans="3:31" ht="15.75" customHeight="1">
      <c r="C108" s="45"/>
      <c r="D108" s="54"/>
    </row>
    <row r="109" spans="3:31" ht="15.75" customHeight="1">
      <c r="AE109" s="315"/>
    </row>
    <row r="110" spans="3:31" ht="15.75" customHeight="1"/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>
      <c r="K117" s="2" t="s">
        <v>309</v>
      </c>
    </row>
    <row r="118" spans="11:11" ht="15.75" customHeight="1"/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2021-04-15T04:09:44Z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