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Objects="placeholders" codeName="ThisWorkbook"/>
  <mc:AlternateContent xmlns:mc="http://schemas.openxmlformats.org/markup-compatibility/2006">
    <mc:Choice Requires="x15">
      <x15ac:absPath xmlns:x15ac="http://schemas.microsoft.com/office/spreadsheetml/2010/11/ac" url="C:\Users\greeda\git\TIMES-NZ-Model-Files\TIMES-NZ\"/>
    </mc:Choice>
  </mc:AlternateContent>
  <xr:revisionPtr revIDLastSave="0" documentId="13_ncr:1_{64B53C06-A000-4C06-9D7C-4B6D85D6D5AF}" xr6:coauthVersionLast="47" xr6:coauthVersionMax="47" xr10:uidLastSave="{00000000-0000-0000-0000-000000000000}"/>
  <bookViews>
    <workbookView xWindow="33825" yWindow="-18480" windowWidth="29040" windowHeight="17520" tabRatio="732" activeTab="8" xr2:uid="{00000000-000D-0000-FFFF-FFFF00000000}"/>
  </bookViews>
  <sheets>
    <sheet name="Sheet1"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164" l="1"/>
  <c r="D52" i="164" l="1"/>
  <c r="B52" i="164"/>
  <c r="O41" i="164" l="1"/>
  <c r="O33" i="164" l="1"/>
  <c r="O34" i="164"/>
  <c r="O35" i="164"/>
  <c r="O32" i="164"/>
  <c r="N61" i="164" l="1"/>
  <c r="O61" i="164"/>
  <c r="P61" i="164"/>
  <c r="Q61" i="164"/>
  <c r="M61" i="164"/>
  <c r="P24" i="163" l="1"/>
  <c r="P23" i="163"/>
  <c r="D77" i="164" l="1"/>
  <c r="B77" i="164"/>
  <c r="AJ76" i="164"/>
  <c r="X76" i="164"/>
  <c r="W76" i="164"/>
  <c r="V76" i="164"/>
  <c r="U76" i="164"/>
  <c r="T76" i="164"/>
  <c r="S76" i="164"/>
  <c r="J76" i="164"/>
  <c r="I76" i="164"/>
  <c r="H76" i="164"/>
  <c r="G76" i="164"/>
  <c r="F76" i="164"/>
  <c r="E76" i="164"/>
  <c r="C76" i="164"/>
  <c r="X75" i="164"/>
  <c r="W75" i="164"/>
  <c r="V75" i="164"/>
  <c r="U75" i="164"/>
  <c r="T75" i="164"/>
  <c r="S75" i="164"/>
  <c r="C75" i="164"/>
  <c r="X74" i="164"/>
  <c r="W74" i="164"/>
  <c r="V74" i="164"/>
  <c r="U74" i="164"/>
  <c r="T74" i="164"/>
  <c r="S74" i="164"/>
  <c r="C74" i="164"/>
  <c r="X73" i="164"/>
  <c r="W73" i="164"/>
  <c r="V73" i="164"/>
  <c r="U73" i="164"/>
  <c r="T73" i="164"/>
  <c r="S73" i="164"/>
  <c r="C73" i="164"/>
  <c r="C77" i="164" s="1"/>
  <c r="X69" i="164"/>
  <c r="W69" i="164"/>
  <c r="V69" i="164"/>
  <c r="U69" i="164"/>
  <c r="T69" i="164"/>
  <c r="S69" i="164"/>
  <c r="X68" i="164"/>
  <c r="W68" i="164"/>
  <c r="V68" i="164"/>
  <c r="U68" i="164"/>
  <c r="T68" i="164"/>
  <c r="S68" i="164"/>
  <c r="C68" i="164"/>
  <c r="X67" i="164"/>
  <c r="W67" i="164"/>
  <c r="V67" i="164"/>
  <c r="U67" i="164"/>
  <c r="T67" i="164"/>
  <c r="S67" i="164"/>
  <c r="C67" i="164"/>
  <c r="X66" i="164"/>
  <c r="W66" i="164"/>
  <c r="V66" i="164"/>
  <c r="U66" i="164"/>
  <c r="T66" i="164"/>
  <c r="S66" i="164"/>
  <c r="C66" i="164"/>
  <c r="Y57" i="164"/>
  <c r="Y56" i="164"/>
  <c r="AA48" i="164"/>
  <c r="Z47" i="164"/>
  <c r="G43" i="164"/>
  <c r="F43" i="164"/>
  <c r="F42" i="164"/>
  <c r="F41" i="164"/>
  <c r="F40" i="164"/>
  <c r="D40" i="164"/>
  <c r="F39" i="164"/>
  <c r="D39" i="164"/>
  <c r="F38" i="164"/>
  <c r="D38" i="164"/>
  <c r="Y37" i="164"/>
  <c r="Y40" i="164" s="1"/>
  <c r="F37" i="164"/>
  <c r="R36" i="164"/>
  <c r="F36" i="164"/>
  <c r="E36" i="164"/>
  <c r="D36" i="164"/>
  <c r="B66" i="164" s="1"/>
  <c r="R35" i="164"/>
  <c r="F35" i="164"/>
  <c r="E35" i="164"/>
  <c r="D35" i="164"/>
  <c r="R34" i="164"/>
  <c r="F34" i="164"/>
  <c r="E34" i="164"/>
  <c r="D34" i="164"/>
  <c r="B68" i="164" s="1"/>
  <c r="R33" i="164"/>
  <c r="F33" i="164"/>
  <c r="E33" i="164"/>
  <c r="D33" i="164"/>
  <c r="B67" i="164" s="1"/>
  <c r="R32" i="164"/>
  <c r="G32" i="164"/>
  <c r="F32" i="164"/>
  <c r="E32" i="164"/>
  <c r="R31" i="164"/>
  <c r="G31" i="164"/>
  <c r="F31" i="164"/>
  <c r="D31" i="164"/>
  <c r="B31" i="164"/>
  <c r="B32" i="164" s="1"/>
  <c r="R30" i="164"/>
  <c r="G30" i="164"/>
  <c r="F30" i="164"/>
  <c r="D30" i="164"/>
  <c r="B30" i="164"/>
  <c r="R29" i="164"/>
  <c r="G29" i="164"/>
  <c r="F29" i="164"/>
  <c r="D29" i="164"/>
  <c r="B29" i="164"/>
  <c r="Y28" i="164"/>
  <c r="Y30" i="164" s="1"/>
  <c r="R28" i="164"/>
  <c r="G28" i="164"/>
  <c r="F28" i="164"/>
  <c r="D28" i="164"/>
  <c r="R27" i="164"/>
  <c r="G27" i="164"/>
  <c r="F27" i="164"/>
  <c r="D27" i="164"/>
  <c r="B27" i="164"/>
  <c r="B28" i="164" s="1"/>
  <c r="R26" i="164"/>
  <c r="G26" i="164"/>
  <c r="F26" i="164"/>
  <c r="D26" i="164"/>
  <c r="B26" i="164"/>
  <c r="R25" i="164"/>
  <c r="G25" i="164"/>
  <c r="F25" i="164"/>
  <c r="D25" i="164"/>
  <c r="B25" i="164"/>
  <c r="R24" i="164"/>
  <c r="G24" i="164"/>
  <c r="F24" i="164"/>
  <c r="D24" i="164"/>
  <c r="B24" i="164"/>
  <c r="R23" i="164"/>
  <c r="G23" i="164"/>
  <c r="F23" i="164"/>
  <c r="D23" i="164"/>
  <c r="B23" i="164"/>
  <c r="R22" i="164"/>
  <c r="R21" i="164"/>
  <c r="Y20" i="164"/>
  <c r="Y22" i="164" s="1"/>
  <c r="Q14" i="164"/>
  <c r="Y58" i="164" l="1"/>
  <c r="Y61" i="164" s="1"/>
  <c r="AA49" i="164"/>
  <c r="Y53" i="164" s="1"/>
  <c r="R37" i="164"/>
  <c r="Y39" i="164"/>
  <c r="Y23" i="164"/>
  <c r="Y31" i="164"/>
  <c r="G43" i="163"/>
  <c r="H43" i="163" s="1"/>
  <c r="AG42" i="163"/>
  <c r="Y60" i="164" l="1"/>
  <c r="Y51" i="164"/>
  <c r="AE36" i="163"/>
  <c r="AE38" i="163" s="1"/>
  <c r="AD36" i="163"/>
  <c r="AD38" i="163" s="1"/>
  <c r="AC36" i="163"/>
  <c r="AC38" i="163" s="1"/>
  <c r="Q12" i="163"/>
  <c r="P12" i="163"/>
  <c r="Q11" i="163"/>
  <c r="P11" i="163"/>
  <c r="Q10" i="163"/>
  <c r="P10" i="163"/>
  <c r="Q9" i="163"/>
  <c r="P9" i="163"/>
  <c r="Q8" i="163"/>
  <c r="P8" i="163"/>
  <c r="Q7" i="163"/>
  <c r="P7" i="163"/>
  <c r="Q6" i="163"/>
  <c r="P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M18" i="161" s="1"/>
  <c r="D2" i="161"/>
  <c r="C2" i="161"/>
  <c r="J5" i="161" s="1"/>
  <c r="B2" i="161"/>
  <c r="L20" i="161" l="1"/>
  <c r="L23" i="161"/>
  <c r="M23" i="161"/>
  <c r="L22" i="161"/>
  <c r="L12" i="161"/>
  <c r="L10" i="161"/>
  <c r="L21" i="161"/>
  <c r="J20" i="161"/>
  <c r="M21" i="161"/>
  <c r="L5" i="161"/>
  <c r="L7" i="161"/>
  <c r="L9" i="161"/>
  <c r="J18" i="161"/>
  <c r="M20" i="161"/>
  <c r="L18" i="161"/>
  <c r="J21" i="161"/>
  <c r="J22" i="161"/>
  <c r="J19" i="161"/>
  <c r="L6" i="161"/>
  <c r="L8" i="161"/>
  <c r="L11" i="161"/>
  <c r="L19" i="161"/>
  <c r="M22" i="161"/>
  <c r="M19" i="161"/>
  <c r="N38" i="132"/>
  <c r="N37" i="132"/>
  <c r="N33" i="132" s="1"/>
  <c r="F12" i="158" l="1"/>
  <c r="E12" i="158"/>
  <c r="E16" i="147" l="1"/>
  <c r="E15" i="147"/>
  <c r="E14" i="147"/>
  <c r="E13" i="147"/>
  <c r="E17" i="147" l="1"/>
  <c r="G49" i="132"/>
  <c r="F12" i="153"/>
  <c r="D12" i="153"/>
  <c r="B2" i="137"/>
  <c r="B2" i="136"/>
  <c r="B2" i="132"/>
  <c r="E3" i="137"/>
  <c r="E4" i="137"/>
  <c r="E5" i="137"/>
  <c r="E6" i="137"/>
  <c r="E7" i="137"/>
  <c r="E8" i="137"/>
  <c r="F2" i="137"/>
  <c r="E2" i="137"/>
  <c r="M6" i="137"/>
  <c r="M7" i="137"/>
  <c r="M8" i="137"/>
  <c r="M9" i="137"/>
  <c r="M10" i="137"/>
  <c r="M11" i="137"/>
  <c r="M5" i="137"/>
  <c r="K11" i="137"/>
  <c r="D24" i="137" s="1"/>
  <c r="D23" i="137"/>
  <c r="K9" i="137"/>
  <c r="D22" i="137" s="1"/>
  <c r="K8" i="137"/>
  <c r="D21" i="137" s="1"/>
  <c r="K7" i="137"/>
  <c r="D20" i="137" s="1"/>
  <c r="K6" i="137"/>
  <c r="D19" i="137" s="1"/>
  <c r="F2" i="136"/>
  <c r="E2" i="136"/>
  <c r="D2" i="136"/>
  <c r="C2" i="136"/>
  <c r="F2" i="132"/>
  <c r="E3" i="132"/>
  <c r="E2" i="132"/>
  <c r="F21" i="132" s="1"/>
  <c r="D3" i="132"/>
  <c r="D2" i="132"/>
  <c r="C2" i="132"/>
  <c r="C3" i="132"/>
  <c r="M33" i="137" l="1"/>
  <c r="V44" i="137"/>
  <c r="D31" i="137"/>
  <c r="C38" i="137"/>
  <c r="C37" i="137"/>
  <c r="C36" i="137"/>
  <c r="C35" i="137"/>
  <c r="C34" i="137"/>
  <c r="C33" i="137"/>
  <c r="F10" i="132"/>
  <c r="D30" i="137"/>
  <c r="D29" i="137"/>
  <c r="D28" i="137"/>
  <c r="D27" i="137"/>
  <c r="D26" i="137"/>
  <c r="N27" i="137"/>
  <c r="N22" i="137"/>
  <c r="M38" i="137"/>
  <c r="N36" i="137"/>
  <c r="M25" i="137"/>
  <c r="N35" i="137"/>
  <c r="M35" i="137"/>
  <c r="N24" i="137"/>
  <c r="N28" i="137"/>
  <c r="M24" i="137"/>
  <c r="M28" i="137"/>
  <c r="M27" i="137"/>
  <c r="N21" i="137"/>
  <c r="M21" i="137"/>
  <c r="N20" i="137"/>
  <c r="N34" i="137"/>
  <c r="M20" i="137"/>
  <c r="M30" i="137"/>
  <c r="M34" i="137"/>
  <c r="M23" i="137"/>
  <c r="N38" i="137"/>
  <c r="M22" i="137"/>
  <c r="N25" i="137"/>
  <c r="M36" i="137"/>
  <c r="N30" i="137"/>
  <c r="N19" i="137"/>
  <c r="N29" i="137"/>
  <c r="N33" i="137"/>
  <c r="N23" i="137"/>
  <c r="N26" i="137"/>
  <c r="M26" i="137"/>
  <c r="N37" i="137"/>
  <c r="M37" i="137"/>
  <c r="N31" i="137"/>
  <c r="M31" i="137"/>
  <c r="M19" i="137"/>
  <c r="M29"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O12" i="147"/>
  <c r="E11" i="147"/>
  <c r="G2" i="147"/>
  <c r="E2" i="147"/>
  <c r="N12" i="147" s="1"/>
  <c r="M13" i="136"/>
  <c r="M11" i="136"/>
  <c r="G17" i="132"/>
  <c r="F32" i="132"/>
  <c r="I18" i="137"/>
  <c r="I11" i="136"/>
  <c r="B16" i="132"/>
  <c r="D17" i="132" s="1"/>
  <c r="C2" i="137"/>
  <c r="K5" i="137" s="1"/>
  <c r="I32" i="137"/>
  <c r="I25" i="137"/>
  <c r="K31" i="137" s="1"/>
  <c r="B31" i="137" s="1"/>
  <c r="K5" i="136"/>
  <c r="I13" i="136"/>
  <c r="I12" i="136"/>
  <c r="K12" i="136" s="1"/>
  <c r="B20" i="132"/>
  <c r="B18" i="132"/>
  <c r="D19" i="132" s="1"/>
  <c r="B36" i="132" s="1"/>
  <c r="D9" i="132"/>
  <c r="N32" i="132"/>
  <c r="E32" i="132"/>
  <c r="G20" i="132"/>
  <c r="G18" i="132"/>
  <c r="F16" i="132"/>
  <c r="F18" i="132"/>
  <c r="G16" i="132"/>
  <c r="N11" i="136"/>
  <c r="N13" i="136"/>
  <c r="M5" i="136"/>
  <c r="N12" i="136"/>
  <c r="M8" i="133" l="1"/>
  <c r="E14" i="133"/>
  <c r="G8" i="133"/>
  <c r="U8" i="133"/>
  <c r="S14" i="133"/>
  <c r="L14" i="133"/>
  <c r="E8" i="133"/>
  <c r="I14" i="133"/>
  <c r="O14" i="133"/>
  <c r="L8" i="133"/>
  <c r="T14" i="133"/>
  <c r="D25" i="137"/>
  <c r="C32" i="137"/>
  <c r="K33" i="137"/>
  <c r="B33" i="137" s="1"/>
  <c r="K34" i="137"/>
  <c r="B34" i="137" s="1"/>
  <c r="K35" i="137"/>
  <c r="B35" i="137" s="1"/>
  <c r="K36" i="137"/>
  <c r="B36" i="137" s="1"/>
  <c r="K37" i="137"/>
  <c r="K38" i="137"/>
  <c r="B38" i="137" s="1"/>
  <c r="K32" i="137"/>
  <c r="B32" i="137" s="1"/>
  <c r="K26" i="137"/>
  <c r="B26" i="137" s="1"/>
  <c r="K29" i="137"/>
  <c r="B29" i="137" s="1"/>
  <c r="K25" i="137"/>
  <c r="B25" i="137" s="1"/>
  <c r="K27" i="137"/>
  <c r="B27" i="137" s="1"/>
  <c r="K28" i="137"/>
  <c r="B28" i="137" s="1"/>
  <c r="K30" i="137"/>
  <c r="D18" i="137"/>
  <c r="K20" i="137"/>
  <c r="B20" i="137" s="1"/>
  <c r="K18" i="137"/>
  <c r="B18" i="137" s="1"/>
  <c r="K22" i="137"/>
  <c r="B22" i="137" s="1"/>
  <c r="K19" i="137"/>
  <c r="K21" i="137"/>
  <c r="B21" i="137" s="1"/>
  <c r="K23" i="137"/>
  <c r="K24" i="137"/>
  <c r="B24" i="137" s="1"/>
  <c r="D21" i="132"/>
  <c r="B38" i="132" s="1"/>
  <c r="D20" i="132"/>
  <c r="B37" i="132" s="1"/>
  <c r="F17" i="137"/>
  <c r="O8" i="133"/>
  <c r="M14" i="133"/>
  <c r="V7" i="133"/>
  <c r="N8" i="133"/>
  <c r="J14" i="133"/>
  <c r="F20" i="132"/>
  <c r="I8" i="133"/>
  <c r="V13" i="133"/>
  <c r="J8" i="133"/>
  <c r="H8" i="133"/>
  <c r="U14" i="133"/>
  <c r="D8" i="133"/>
  <c r="V10" i="133"/>
  <c r="V12" i="133"/>
  <c r="K11" i="136"/>
  <c r="F8" i="133"/>
  <c r="K14" i="133"/>
  <c r="K8" i="133"/>
  <c r="B12" i="147"/>
  <c r="T8" i="133"/>
  <c r="K13" i="136"/>
  <c r="S8" i="133"/>
  <c r="H14" i="133"/>
  <c r="N14" i="133"/>
  <c r="D14" i="133"/>
  <c r="V11" i="133"/>
  <c r="N18" i="137"/>
  <c r="V6" i="133"/>
  <c r="N32" i="137"/>
  <c r="M12" i="136"/>
  <c r="F14" i="133"/>
  <c r="F12" i="147"/>
  <c r="B34" i="132"/>
  <c r="G14" i="133"/>
  <c r="E17" i="137"/>
  <c r="F9" i="132"/>
  <c r="G19" i="132"/>
  <c r="F19" i="132"/>
  <c r="M32" i="137"/>
  <c r="U44" i="137"/>
  <c r="M18" i="137"/>
  <c r="V5" i="133"/>
  <c r="D33" i="132"/>
  <c r="C37" i="132"/>
  <c r="D35" i="132"/>
  <c r="D18" i="132"/>
  <c r="D16" i="132"/>
  <c r="B33" i="132" s="1"/>
  <c r="F17" i="132"/>
  <c r="B23" i="137" l="1"/>
  <c r="I50" i="137"/>
  <c r="B37" i="137"/>
  <c r="I64" i="137"/>
  <c r="B30" i="137"/>
  <c r="I57"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8"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8"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Q8"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9"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5"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5"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Q15"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6"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2"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2"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Chiraag Ishwar</author>
    <author>Suleimenov Bakytzhan</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K37" authorId="3" shapeId="0" xr:uid="{00000000-0006-0000-0600-00000A000000}">
      <text>
        <r>
          <rPr>
            <b/>
            <sz val="9"/>
            <color indexed="81"/>
            <rFont val="Tahoma"/>
            <charset val="1"/>
          </rPr>
          <t>Chiraag Ishwar:</t>
        </r>
        <r>
          <rPr>
            <sz val="9"/>
            <color indexed="81"/>
            <rFont val="Tahoma"/>
            <charset val="1"/>
          </rPr>
          <t xml:space="preserve">
includes on site proportion of wood increas</t>
        </r>
      </text>
    </comment>
    <comment ref="F60" authorId="4"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4"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3"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R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<sst xmlns="http://schemas.openxmlformats.org/spreadsheetml/2006/main" count="2387" uniqueCount="725">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</sst>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ont>
    <font>
      <sz val="9"/>
      <color indexed="81"/>
      <name val="Tahoma"/>
      <charset val="1"/>
    </font>
    <font>
      <b/>
      <sz val="9"/>
      <color indexed="81"/>
      <name val="Tahoma"/>
      <charset val="1"/>
    </font>
  </fonts>
  <fills count="128">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65">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greeda\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724</v>
      </c>
    </row>
    <row r="2" spans="1:1">
      <c r="A2" t="s">
        <v>710</v>
      </c>
    </row>
    <row r="3" spans="1:1">
      <c r="A3" t="s">
        <v>711</v>
      </c>
    </row>
    <row r="4" spans="1:1">
      <c r="A4" t="s">
        <v>712</v>
      </c>
    </row>
    <row r="5" spans="1:1">
      <c r="A5" t="s">
        <v>713</v>
      </c>
    </row>
    <row r="6" spans="1:1">
      <c r="A6" t="s">
        <v>714</v>
      </c>
    </row>
    <row r="7" spans="1:1">
      <c r="A7" t="s">
        <v>715</v>
      </c>
    </row>
    <row r="8" spans="1:1">
      <c r="A8" t="s">
        <v>716</v>
      </c>
    </row>
    <row r="9" spans="1:1">
      <c r="A9" t="s">
        <v>717</v>
      </c>
    </row>
    <row r="10" spans="1:1">
      <c r="A10" t="s">
        <v>718</v>
      </c>
    </row>
    <row r="11" spans="1:1">
      <c r="A11" t="s">
        <v>719</v>
      </c>
    </row>
    <row r="12" spans="1:1">
      <c r="A12" t="s">
        <v>720</v>
      </c>
    </row>
    <row r="13" spans="1:1">
      <c r="A13" t="s">
        <v>721</v>
      </c>
    </row>
    <row r="14" spans="1:1">
      <c r="A14" t="s">
        <v>722</v>
      </c>
    </row>
    <row r="15" spans="1:1">
      <c r="A15"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opLeftCell="A31" zoomScale="80" zoomScaleNormal="80" workbookViewId="0">
      <selection activeCell="F69" sqref="F69"/>
    </sheetView>
  </sheetViews>
  <sheetFormatPr defaultColWidth="9.140625" defaultRowHeight="12.75"/>
  <cols>
    <col min="3" max="3" width="16" customWidth="1"/>
    <col min="4" max="4" width="17" customWidth="1"/>
    <col min="5" max="5" width="20.140625" customWidth="1"/>
    <col min="6" max="6" width="50.42578125" bestFit="1" customWidth="1"/>
    <col min="16" max="16" width="23" customWidth="1"/>
  </cols>
  <sheetData>
    <row r="2" spans="3:22">
      <c r="C2" s="102" t="s">
        <v>14</v>
      </c>
      <c r="D2" s="102"/>
      <c r="E2" s="103"/>
      <c r="F2" s="103"/>
      <c r="G2" s="103"/>
      <c r="H2" s="103"/>
      <c r="I2" s="103"/>
      <c r="J2" s="103"/>
      <c r="K2" s="103"/>
      <c r="N2" s="102" t="s">
        <v>15</v>
      </c>
      <c r="O2" s="102"/>
      <c r="P2" s="103"/>
      <c r="Q2" s="103"/>
      <c r="R2" s="103"/>
      <c r="S2" s="103"/>
      <c r="T2" s="103"/>
      <c r="U2" s="103"/>
      <c r="V2" s="103"/>
    </row>
    <row r="3" spans="3:22">
      <c r="C3" s="104" t="s">
        <v>7</v>
      </c>
      <c r="D3" s="105" t="s">
        <v>30</v>
      </c>
      <c r="E3" s="104" t="s">
        <v>0</v>
      </c>
      <c r="F3" s="104" t="s">
        <v>3</v>
      </c>
      <c r="G3" s="104" t="s">
        <v>4</v>
      </c>
      <c r="H3" s="104" t="s">
        <v>8</v>
      </c>
      <c r="I3" s="104" t="s">
        <v>9</v>
      </c>
      <c r="J3" s="104" t="s">
        <v>10</v>
      </c>
      <c r="K3" s="104" t="s">
        <v>12</v>
      </c>
      <c r="N3" s="104" t="s">
        <v>11</v>
      </c>
      <c r="O3" s="105" t="s">
        <v>30</v>
      </c>
      <c r="P3" s="104" t="s">
        <v>1</v>
      </c>
      <c r="Q3" s="104" t="s">
        <v>2</v>
      </c>
      <c r="R3" s="104" t="s">
        <v>16</v>
      </c>
      <c r="S3" s="104" t="s">
        <v>17</v>
      </c>
      <c r="T3" s="104" t="s">
        <v>18</v>
      </c>
      <c r="U3" s="104" t="s">
        <v>19</v>
      </c>
      <c r="V3" s="104" t="s">
        <v>20</v>
      </c>
    </row>
    <row r="4" spans="3:22" ht="48.75" thickBot="1">
      <c r="C4" s="409" t="s">
        <v>37</v>
      </c>
      <c r="D4" s="409" t="s">
        <v>31</v>
      </c>
      <c r="E4" s="409" t="s">
        <v>26</v>
      </c>
      <c r="F4" s="409" t="s">
        <v>27</v>
      </c>
      <c r="G4" s="409" t="s">
        <v>4</v>
      </c>
      <c r="H4" s="409" t="s">
        <v>40</v>
      </c>
      <c r="I4" s="409" t="s">
        <v>41</v>
      </c>
      <c r="J4" s="409" t="s">
        <v>28</v>
      </c>
      <c r="K4" s="409" t="s">
        <v>29</v>
      </c>
      <c r="N4" s="409" t="s">
        <v>38</v>
      </c>
      <c r="O4" s="409" t="s">
        <v>31</v>
      </c>
      <c r="P4" s="409" t="s">
        <v>21</v>
      </c>
      <c r="Q4" s="409" t="s">
        <v>22</v>
      </c>
      <c r="R4" s="409" t="s">
        <v>23</v>
      </c>
      <c r="S4" s="409" t="s">
        <v>24</v>
      </c>
      <c r="T4" s="409" t="s">
        <v>43</v>
      </c>
      <c r="U4" s="409" t="s">
        <v>42</v>
      </c>
      <c r="V4" s="409" t="s">
        <v>25</v>
      </c>
    </row>
    <row r="5" spans="3:22" ht="13.5" thickBot="1">
      <c r="C5" s="99" t="s">
        <v>65</v>
      </c>
      <c r="D5" s="99"/>
      <c r="E5" s="99" t="s">
        <v>484</v>
      </c>
      <c r="F5" s="99" t="s">
        <v>485</v>
      </c>
      <c r="G5" s="99" t="s">
        <v>69</v>
      </c>
      <c r="H5" s="99" t="s">
        <v>463</v>
      </c>
      <c r="I5" s="103" t="s">
        <v>92</v>
      </c>
      <c r="J5" s="99"/>
      <c r="K5" s="99"/>
      <c r="N5" s="409" t="s">
        <v>73</v>
      </c>
      <c r="O5" s="409"/>
      <c r="P5" s="409"/>
      <c r="Q5" s="409"/>
      <c r="R5" s="409"/>
      <c r="S5" s="409"/>
      <c r="T5" s="409"/>
      <c r="U5" s="409"/>
      <c r="V5" s="409"/>
    </row>
    <row r="6" spans="3:22">
      <c r="C6" s="99" t="s">
        <v>65</v>
      </c>
      <c r="D6" s="99"/>
      <c r="E6" s="99" t="s">
        <v>486</v>
      </c>
      <c r="F6" s="99" t="s">
        <v>487</v>
      </c>
      <c r="G6" s="99" t="s">
        <v>69</v>
      </c>
      <c r="H6" s="99" t="s">
        <v>463</v>
      </c>
      <c r="I6" s="103" t="s">
        <v>92</v>
      </c>
      <c r="J6" s="99"/>
      <c r="K6" s="99"/>
      <c r="N6" s="103" t="s">
        <v>87</v>
      </c>
      <c r="O6" s="103"/>
      <c r="P6" s="103" t="str">
        <f>+C33</f>
        <v>SUP_ELC-PEMC-H2</v>
      </c>
      <c r="Q6" s="103" t="str">
        <f>+D33</f>
        <v>H2 production from PEM electrolysis - centralised</v>
      </c>
      <c r="R6" s="103" t="s">
        <v>69</v>
      </c>
      <c r="S6" s="103" t="s">
        <v>430</v>
      </c>
      <c r="T6" s="103" t="s">
        <v>92</v>
      </c>
      <c r="U6" s="103"/>
      <c r="V6" s="103"/>
    </row>
    <row r="7" spans="3:22">
      <c r="C7" s="99" t="s">
        <v>65</v>
      </c>
      <c r="D7" s="99"/>
      <c r="E7" s="99" t="s">
        <v>437</v>
      </c>
      <c r="F7" s="99" t="s">
        <v>488</v>
      </c>
      <c r="G7" s="99" t="s">
        <v>69</v>
      </c>
      <c r="H7" s="99" t="s">
        <v>463</v>
      </c>
      <c r="I7" s="103" t="s">
        <v>92</v>
      </c>
      <c r="J7" s="99"/>
      <c r="K7" s="99"/>
      <c r="N7" s="103" t="s">
        <v>87</v>
      </c>
      <c r="P7" t="str">
        <f>+C35</f>
        <v>SUP_ELC-PEMD-H2</v>
      </c>
      <c r="Q7" t="str">
        <f>+D35</f>
        <v>H2 production from PEM electrolysis - decentralised</v>
      </c>
      <c r="R7" s="103" t="s">
        <v>69</v>
      </c>
      <c r="S7" s="103" t="s">
        <v>430</v>
      </c>
      <c r="T7" s="103" t="s">
        <v>92</v>
      </c>
    </row>
    <row r="8" spans="3:22">
      <c r="C8" s="99" t="s">
        <v>65</v>
      </c>
      <c r="D8" s="99"/>
      <c r="E8" s="99" t="s">
        <v>473</v>
      </c>
      <c r="F8" s="99" t="s">
        <v>489</v>
      </c>
      <c r="G8" s="99" t="s">
        <v>69</v>
      </c>
      <c r="H8" s="99" t="s">
        <v>463</v>
      </c>
      <c r="I8" s="103" t="s">
        <v>92</v>
      </c>
      <c r="J8" s="99"/>
      <c r="K8" s="99"/>
      <c r="N8" s="103" t="s">
        <v>87</v>
      </c>
      <c r="P8" t="str">
        <f>+C36</f>
        <v>\I:SUP_ELC-SOECC-H2</v>
      </c>
      <c r="Q8" t="str">
        <f>+D36</f>
        <v>H2 production from SOEC electrolysis - centralised</v>
      </c>
      <c r="R8" s="103" t="s">
        <v>69</v>
      </c>
      <c r="S8" s="103" t="s">
        <v>430</v>
      </c>
      <c r="T8" s="103" t="s">
        <v>92</v>
      </c>
    </row>
    <row r="9" spans="3:22">
      <c r="C9" s="99" t="s">
        <v>65</v>
      </c>
      <c r="D9" s="144"/>
      <c r="E9" s="99" t="s">
        <v>490</v>
      </c>
      <c r="F9" s="99" t="s">
        <v>491</v>
      </c>
      <c r="G9" s="99" t="s">
        <v>86</v>
      </c>
      <c r="H9" s="99"/>
      <c r="I9" s="99"/>
      <c r="J9" s="99"/>
      <c r="K9" s="99"/>
      <c r="N9" s="103" t="s">
        <v>87</v>
      </c>
      <c r="P9" t="str">
        <f>+C38</f>
        <v>\I:SUP_ELC-SOECD-H2</v>
      </c>
      <c r="Q9" t="str">
        <f>+D38</f>
        <v>H2 production from SOEC electrolysis - decentralised</v>
      </c>
      <c r="R9" s="103" t="s">
        <v>69</v>
      </c>
      <c r="S9" s="103" t="s">
        <v>430</v>
      </c>
      <c r="T9" s="103" t="s">
        <v>92</v>
      </c>
    </row>
    <row r="10" spans="3:22">
      <c r="C10" s="99" t="s">
        <v>65</v>
      </c>
      <c r="D10" s="144"/>
      <c r="E10" s="99" t="s">
        <v>492</v>
      </c>
      <c r="F10" s="99" t="s">
        <v>493</v>
      </c>
      <c r="G10" s="99" t="s">
        <v>69</v>
      </c>
      <c r="H10" s="99" t="s">
        <v>463</v>
      </c>
      <c r="I10" s="103" t="s">
        <v>92</v>
      </c>
      <c r="J10" s="99"/>
      <c r="K10" s="99"/>
      <c r="N10" s="103" t="s">
        <v>474</v>
      </c>
      <c r="P10" t="str">
        <f>+C39</f>
        <v>\I:SUP_H2NGA</v>
      </c>
      <c r="Q10" t="str">
        <f>+D39</f>
        <v>H2 methanisation to natural gas (CO2 from DAC)</v>
      </c>
      <c r="R10" s="103" t="s">
        <v>69</v>
      </c>
      <c r="S10" s="103" t="s">
        <v>430</v>
      </c>
      <c r="T10" s="103" t="s">
        <v>92</v>
      </c>
    </row>
    <row r="11" spans="3:22">
      <c r="C11" s="99" t="s">
        <v>65</v>
      </c>
      <c r="E11" s="99" t="s">
        <v>494</v>
      </c>
      <c r="F11" s="99" t="s">
        <v>495</v>
      </c>
      <c r="G11" s="99" t="s">
        <v>69</v>
      </c>
      <c r="H11" s="99" t="s">
        <v>463</v>
      </c>
      <c r="I11" s="103" t="s">
        <v>92</v>
      </c>
      <c r="N11" s="103" t="s">
        <v>474</v>
      </c>
      <c r="P11" t="str">
        <f>+C41</f>
        <v>\I:SUP_H2NGA_CCS</v>
      </c>
      <c r="Q11" t="str">
        <f>+D41</f>
        <v>H2 methanisation to natural gas (CO2 from CCS)</v>
      </c>
      <c r="R11" s="103" t="s">
        <v>69</v>
      </c>
      <c r="S11" s="103" t="s">
        <v>430</v>
      </c>
      <c r="T11" s="103" t="s">
        <v>92</v>
      </c>
    </row>
    <row r="12" spans="3:22">
      <c r="C12" s="99" t="s">
        <v>65</v>
      </c>
      <c r="E12" s="99" t="s">
        <v>496</v>
      </c>
      <c r="F12" s="99" t="s">
        <v>497</v>
      </c>
      <c r="G12" s="99" t="s">
        <v>69</v>
      </c>
      <c r="H12" s="99" t="s">
        <v>463</v>
      </c>
      <c r="I12" s="103" t="s">
        <v>92</v>
      </c>
      <c r="N12" s="417" t="s">
        <v>474</v>
      </c>
      <c r="P12" t="str">
        <f>+C42</f>
        <v>\I:</v>
      </c>
      <c r="Q12" t="str">
        <f>+D42</f>
        <v>H2 production from natural gas (steam methane reforming with CCS)</v>
      </c>
      <c r="R12" s="103" t="s">
        <v>69</v>
      </c>
      <c r="S12" s="103" t="s">
        <v>430</v>
      </c>
      <c r="T12" s="103" t="s">
        <v>92</v>
      </c>
    </row>
    <row r="13" spans="3:22">
      <c r="C13" s="99" t="s">
        <v>65</v>
      </c>
      <c r="E13" s="99" t="s">
        <v>498</v>
      </c>
      <c r="F13" s="99" t="s">
        <v>499</v>
      </c>
      <c r="G13" s="99" t="s">
        <v>69</v>
      </c>
      <c r="H13" s="99" t="s">
        <v>463</v>
      </c>
      <c r="I13" s="103" t="s">
        <v>92</v>
      </c>
      <c r="N13" s="103" t="s">
        <v>58</v>
      </c>
      <c r="P13" t="s">
        <v>500</v>
      </c>
      <c r="Q13" t="s">
        <v>501</v>
      </c>
      <c r="R13" s="103" t="s">
        <v>86</v>
      </c>
      <c r="S13" s="103" t="s">
        <v>502</v>
      </c>
      <c r="T13" s="103"/>
    </row>
    <row r="14" spans="3:22">
      <c r="C14" s="99" t="s">
        <v>65</v>
      </c>
      <c r="E14" s="99" t="s">
        <v>503</v>
      </c>
      <c r="F14" s="99" t="s">
        <v>504</v>
      </c>
      <c r="G14" s="99" t="s">
        <v>69</v>
      </c>
      <c r="H14" s="99" t="s">
        <v>463</v>
      </c>
      <c r="I14" s="103" t="s">
        <v>92</v>
      </c>
      <c r="N14" s="103" t="s">
        <v>87</v>
      </c>
      <c r="P14" t="s">
        <v>505</v>
      </c>
      <c r="Q14" t="s">
        <v>506</v>
      </c>
      <c r="R14" s="103" t="s">
        <v>69</v>
      </c>
      <c r="S14" s="103" t="s">
        <v>106</v>
      </c>
      <c r="T14" s="103" t="s">
        <v>92</v>
      </c>
    </row>
    <row r="15" spans="3:22">
      <c r="C15" s="99" t="s">
        <v>65</v>
      </c>
      <c r="E15" s="99" t="s">
        <v>683</v>
      </c>
      <c r="F15" s="99" t="s">
        <v>685</v>
      </c>
      <c r="G15" s="99" t="s">
        <v>69</v>
      </c>
      <c r="H15" s="99" t="s">
        <v>463</v>
      </c>
      <c r="I15" s="103" t="s">
        <v>92</v>
      </c>
      <c r="N15" s="103" t="s">
        <v>87</v>
      </c>
      <c r="P15" t="s">
        <v>507</v>
      </c>
      <c r="Q15" t="s">
        <v>508</v>
      </c>
      <c r="R15" s="103" t="s">
        <v>69</v>
      </c>
      <c r="S15" s="103" t="s">
        <v>106</v>
      </c>
      <c r="T15" s="103" t="s">
        <v>92</v>
      </c>
    </row>
    <row r="16" spans="3:22">
      <c r="C16" s="99" t="s">
        <v>65</v>
      </c>
      <c r="D16" s="144"/>
      <c r="E16" s="99" t="s">
        <v>549</v>
      </c>
      <c r="F16" s="99" t="s">
        <v>575</v>
      </c>
      <c r="G16" s="99" t="s">
        <v>86</v>
      </c>
      <c r="N16" s="103" t="s">
        <v>87</v>
      </c>
      <c r="P16" t="s">
        <v>509</v>
      </c>
      <c r="Q16" t="s">
        <v>510</v>
      </c>
      <c r="R16" s="103" t="s">
        <v>69</v>
      </c>
      <c r="S16" s="103" t="s">
        <v>106</v>
      </c>
      <c r="T16" s="103" t="s">
        <v>92</v>
      </c>
    </row>
    <row r="17" spans="3:35">
      <c r="N17" s="103" t="s">
        <v>87</v>
      </c>
      <c r="P17" t="s">
        <v>511</v>
      </c>
      <c r="Q17" t="s">
        <v>512</v>
      </c>
      <c r="R17" s="103" t="s">
        <v>69</v>
      </c>
      <c r="S17" s="103" t="s">
        <v>106</v>
      </c>
      <c r="T17" s="103" t="s">
        <v>92</v>
      </c>
    </row>
    <row r="18" spans="3:35">
      <c r="N18" s="103" t="s">
        <v>87</v>
      </c>
      <c r="P18" t="s">
        <v>513</v>
      </c>
      <c r="Q18" t="s">
        <v>514</v>
      </c>
      <c r="R18" s="103" t="s">
        <v>69</v>
      </c>
      <c r="S18" s="103" t="s">
        <v>106</v>
      </c>
      <c r="T18" s="103" t="s">
        <v>92</v>
      </c>
    </row>
    <row r="19" spans="3:35">
      <c r="N19" s="103" t="s">
        <v>87</v>
      </c>
      <c r="P19" t="s">
        <v>515</v>
      </c>
      <c r="Q19" t="s">
        <v>516</v>
      </c>
      <c r="R19" s="103" t="s">
        <v>69</v>
      </c>
      <c r="S19" s="103" t="s">
        <v>106</v>
      </c>
      <c r="T19" s="103" t="s">
        <v>92</v>
      </c>
    </row>
    <row r="20" spans="3:35">
      <c r="N20" s="103" t="s">
        <v>87</v>
      </c>
      <c r="P20" t="s">
        <v>517</v>
      </c>
      <c r="Q20" t="s">
        <v>518</v>
      </c>
      <c r="R20" s="103" t="s">
        <v>69</v>
      </c>
      <c r="S20" s="103" t="s">
        <v>106</v>
      </c>
      <c r="T20" s="103" t="s">
        <v>92</v>
      </c>
    </row>
    <row r="21" spans="3:35">
      <c r="N21" s="103" t="s">
        <v>87</v>
      </c>
      <c r="P21" t="s">
        <v>519</v>
      </c>
      <c r="Q21" t="s">
        <v>520</v>
      </c>
      <c r="R21" s="103" t="s">
        <v>69</v>
      </c>
      <c r="S21" s="103" t="s">
        <v>106</v>
      </c>
      <c r="T21" s="103" t="s">
        <v>92</v>
      </c>
    </row>
    <row r="22" spans="3:35">
      <c r="N22" s="103" t="s">
        <v>87</v>
      </c>
      <c r="P22" t="s">
        <v>521</v>
      </c>
      <c r="Q22" t="s">
        <v>522</v>
      </c>
      <c r="R22" s="103" t="s">
        <v>69</v>
      </c>
      <c r="S22" s="103" t="s">
        <v>106</v>
      </c>
      <c r="T22" s="103" t="s">
        <v>92</v>
      </c>
    </row>
    <row r="23" spans="3:35">
      <c r="N23" s="103" t="s">
        <v>87</v>
      </c>
      <c r="P23" t="str">
        <f>+C84</f>
        <v>FTE_AGRH2R</v>
      </c>
      <c r="Q23" t="s">
        <v>686</v>
      </c>
      <c r="R23" s="103" t="s">
        <v>69</v>
      </c>
      <c r="S23" s="103" t="s">
        <v>106</v>
      </c>
      <c r="T23" s="103" t="s">
        <v>92</v>
      </c>
    </row>
    <row r="24" spans="3:35">
      <c r="N24" s="103" t="s">
        <v>87</v>
      </c>
      <c r="P24" t="str">
        <f>+C85</f>
        <v>FTE_AGRH2D</v>
      </c>
      <c r="Q24" t="s">
        <v>687</v>
      </c>
      <c r="R24" s="103" t="s">
        <v>69</v>
      </c>
      <c r="S24" s="103" t="s">
        <v>106</v>
      </c>
      <c r="T24" s="103" t="s">
        <v>92</v>
      </c>
    </row>
    <row r="25" spans="3:35">
      <c r="N25" s="103" t="s">
        <v>474</v>
      </c>
      <c r="P25" t="s">
        <v>523</v>
      </c>
      <c r="Q25" t="s">
        <v>524</v>
      </c>
      <c r="R25" s="103" t="s">
        <v>69</v>
      </c>
      <c r="S25" s="103" t="s">
        <v>430</v>
      </c>
      <c r="T25" s="103" t="s">
        <v>92</v>
      </c>
    </row>
    <row r="26" spans="3:35">
      <c r="N26" s="103" t="s">
        <v>706</v>
      </c>
      <c r="P26" t="s">
        <v>525</v>
      </c>
      <c r="Q26" t="s">
        <v>526</v>
      </c>
      <c r="R26" s="103" t="s">
        <v>69</v>
      </c>
      <c r="S26" s="103" t="s">
        <v>430</v>
      </c>
      <c r="T26" s="103" t="s">
        <v>92</v>
      </c>
    </row>
    <row r="27" spans="3:35">
      <c r="N27" s="103" t="s">
        <v>474</v>
      </c>
      <c r="P27" t="s">
        <v>527</v>
      </c>
      <c r="Q27" t="s">
        <v>528</v>
      </c>
      <c r="R27" s="103" t="s">
        <v>69</v>
      </c>
      <c r="S27" s="103" t="s">
        <v>430</v>
      </c>
      <c r="T27" s="103" t="s">
        <v>92</v>
      </c>
    </row>
    <row r="28" spans="3:35">
      <c r="N28" s="103" t="s">
        <v>87</v>
      </c>
      <c r="P28" t="s">
        <v>529</v>
      </c>
      <c r="Q28" t="s">
        <v>530</v>
      </c>
      <c r="R28" s="103" t="s">
        <v>69</v>
      </c>
      <c r="S28" s="103" t="s">
        <v>704</v>
      </c>
      <c r="T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ht="96">
      <c r="C53" s="411" t="s">
        <v>39</v>
      </c>
      <c r="D53" s="411"/>
      <c r="E53" s="411" t="s">
        <v>32</v>
      </c>
      <c r="F53" s="411" t="s">
        <v>33</v>
      </c>
      <c r="G53" s="411"/>
      <c r="H53" s="411" t="s">
        <v>554</v>
      </c>
      <c r="I53" s="412" t="s">
        <v>555</v>
      </c>
    </row>
    <row r="54" spans="3:17" ht="24">
      <c r="C54" s="411"/>
      <c r="D54" s="411" t="s">
        <v>556</v>
      </c>
      <c r="E54" s="411" t="s">
        <v>484</v>
      </c>
      <c r="F54" s="411" t="s">
        <v>484</v>
      </c>
      <c r="G54" s="411">
        <v>0.3</v>
      </c>
      <c r="H54" s="411">
        <v>6043.0555555555557</v>
      </c>
    </row>
    <row r="55" spans="3:17" ht="24">
      <c r="C55" s="411"/>
      <c r="D55" s="411" t="s">
        <v>557</v>
      </c>
      <c r="E55" s="411" t="s">
        <v>484</v>
      </c>
      <c r="F55" s="411" t="s">
        <v>484</v>
      </c>
      <c r="G55" s="411">
        <v>0.4</v>
      </c>
      <c r="H55" s="411">
        <v>883.39655555555544</v>
      </c>
    </row>
    <row r="56" spans="3:17">
      <c r="N56" s="413"/>
    </row>
    <row r="57" spans="3:17">
      <c r="C57" t="s">
        <v>558</v>
      </c>
      <c r="M57" s="413"/>
    </row>
    <row r="58" spans="3:17">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57"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c r="C75" s="421" t="s">
        <v>505</v>
      </c>
      <c r="D75" s="422" t="s">
        <v>437</v>
      </c>
      <c r="E75" s="422" t="s">
        <v>492</v>
      </c>
      <c r="F75" s="423"/>
      <c r="G75" s="423"/>
      <c r="H75" s="423"/>
      <c r="I75" s="424">
        <v>1</v>
      </c>
      <c r="J75" s="424">
        <v>100</v>
      </c>
      <c r="K75" s="425"/>
      <c r="L75" t="s">
        <v>572</v>
      </c>
    </row>
    <row r="76" spans="3:17">
      <c r="C76" t="s">
        <v>507</v>
      </c>
      <c r="D76" t="s">
        <v>486</v>
      </c>
      <c r="E76" t="s">
        <v>492</v>
      </c>
      <c r="F76" s="426"/>
      <c r="G76" s="426"/>
      <c r="H76" s="426"/>
      <c r="I76" s="424">
        <v>1</v>
      </c>
      <c r="J76" s="424">
        <v>100</v>
      </c>
      <c r="K76" s="426">
        <v>29</v>
      </c>
    </row>
    <row r="77" spans="3:17">
      <c r="C77" t="s">
        <v>509</v>
      </c>
      <c r="D77" t="s">
        <v>437</v>
      </c>
      <c r="E77" t="s">
        <v>494</v>
      </c>
      <c r="F77" s="426"/>
      <c r="G77" s="426"/>
      <c r="H77" s="426"/>
      <c r="I77" s="424">
        <v>1</v>
      </c>
      <c r="J77" s="424">
        <v>100</v>
      </c>
      <c r="K77" s="426"/>
    </row>
    <row r="78" spans="3:17">
      <c r="C78" t="s">
        <v>511</v>
      </c>
      <c r="D78" t="s">
        <v>486</v>
      </c>
      <c r="E78" t="s">
        <v>494</v>
      </c>
      <c r="F78" s="426"/>
      <c r="G78" s="426"/>
      <c r="H78" s="426"/>
      <c r="I78" s="424">
        <v>1</v>
      </c>
      <c r="J78" s="424">
        <v>100</v>
      </c>
      <c r="K78" s="426">
        <v>29</v>
      </c>
    </row>
    <row r="79" spans="3:17">
      <c r="C79" t="s">
        <v>513</v>
      </c>
      <c r="D79" t="s">
        <v>437</v>
      </c>
      <c r="E79" t="s">
        <v>496</v>
      </c>
      <c r="F79" s="426"/>
      <c r="G79" s="426"/>
      <c r="H79" s="426"/>
      <c r="I79" s="424">
        <v>1</v>
      </c>
      <c r="J79" s="424">
        <v>100</v>
      </c>
      <c r="K79" s="426"/>
    </row>
    <row r="80" spans="3:17">
      <c r="C80" t="s">
        <v>515</v>
      </c>
      <c r="D80" t="s">
        <v>437</v>
      </c>
      <c r="E80" t="s">
        <v>498</v>
      </c>
      <c r="I80" s="427">
        <v>1</v>
      </c>
      <c r="J80" s="424">
        <v>100</v>
      </c>
      <c r="K80" s="426"/>
    </row>
    <row r="81" spans="3:11">
      <c r="C81" t="s">
        <v>517</v>
      </c>
      <c r="D81" t="s">
        <v>486</v>
      </c>
      <c r="E81" t="s">
        <v>498</v>
      </c>
      <c r="I81" s="427">
        <v>1</v>
      </c>
      <c r="J81" s="424">
        <v>100</v>
      </c>
      <c r="K81" s="426">
        <v>29</v>
      </c>
    </row>
    <row r="82" spans="3:11">
      <c r="C82" t="s">
        <v>519</v>
      </c>
      <c r="D82" t="s">
        <v>437</v>
      </c>
      <c r="E82" t="s">
        <v>503</v>
      </c>
      <c r="I82" s="427">
        <v>1</v>
      </c>
      <c r="J82" s="424">
        <v>100</v>
      </c>
      <c r="K82" s="426"/>
    </row>
    <row r="83" spans="3:11">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R38"/>
  <sheetViews>
    <sheetView zoomScale="85" zoomScaleNormal="85" workbookViewId="0">
      <selection activeCell="E20" sqref="E20"/>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34.42578125" style="99" customWidth="1"/>
    <col min="14" max="14" width="6.140625" style="99" customWidth="1"/>
    <col min="15" max="15" width="10.85546875" style="99" customWidth="1"/>
    <col min="16" max="16" width="13.5703125" style="99" customWidth="1"/>
    <col min="17" max="17" width="13.7109375" style="99" customWidth="1"/>
    <col min="18" max="18" width="7.5703125" style="99" bestFit="1" customWidth="1"/>
    <col min="19" max="16384" width="8.85546875" style="98"/>
  </cols>
  <sheetData>
    <row r="1" spans="2:18">
      <c r="B1" s="100" t="s">
        <v>66</v>
      </c>
      <c r="C1" s="138" t="s">
        <v>68</v>
      </c>
      <c r="D1" s="138" t="s">
        <v>88</v>
      </c>
      <c r="E1" s="100" t="s">
        <v>23</v>
      </c>
      <c r="F1" s="100" t="s">
        <v>91</v>
      </c>
      <c r="G1" s="100" t="s">
        <v>71</v>
      </c>
      <c r="H1" s="100" t="s">
        <v>83</v>
      </c>
    </row>
    <row r="2" spans="2:18">
      <c r="B2" s="101" t="s">
        <v>64</v>
      </c>
      <c r="C2" s="101" t="s">
        <v>105</v>
      </c>
      <c r="D2" s="139" t="s">
        <v>105</v>
      </c>
      <c r="E2" s="101" t="str">
        <f>'EB1'!Z2</f>
        <v>PJ</v>
      </c>
      <c r="F2" s="101" t="s">
        <v>106</v>
      </c>
      <c r="G2" s="101" t="str">
        <f>'EB1'!Y2</f>
        <v>M€2005</v>
      </c>
      <c r="H2" s="101" t="s">
        <v>84</v>
      </c>
      <c r="J2" s="102" t="s">
        <v>14</v>
      </c>
      <c r="K2" s="102"/>
      <c r="L2" s="103"/>
      <c r="M2" s="103"/>
      <c r="N2" s="103"/>
      <c r="O2" s="103"/>
      <c r="P2" s="103"/>
      <c r="Q2" s="103"/>
      <c r="R2" s="103"/>
    </row>
    <row r="3" spans="2:18">
      <c r="J3" s="104" t="s">
        <v>7</v>
      </c>
      <c r="K3" s="105" t="s">
        <v>30</v>
      </c>
      <c r="L3" s="104" t="s">
        <v>0</v>
      </c>
      <c r="M3" s="104" t="s">
        <v>3</v>
      </c>
      <c r="N3" s="104" t="s">
        <v>4</v>
      </c>
      <c r="O3" s="104" t="s">
        <v>8</v>
      </c>
      <c r="P3" s="104" t="s">
        <v>9</v>
      </c>
      <c r="Q3" s="104" t="s">
        <v>10</v>
      </c>
      <c r="R3" s="104" t="s">
        <v>12</v>
      </c>
    </row>
    <row r="4" spans="2:18" ht="48.75" thickBot="1">
      <c r="B4" s="140"/>
      <c r="C4" s="141"/>
      <c r="D4" s="141"/>
      <c r="E4" s="141"/>
      <c r="H4" s="142"/>
      <c r="J4" s="106" t="s">
        <v>37</v>
      </c>
      <c r="K4" s="106" t="s">
        <v>31</v>
      </c>
      <c r="L4" s="106" t="s">
        <v>26</v>
      </c>
      <c r="M4" s="106" t="s">
        <v>27</v>
      </c>
      <c r="N4" s="106" t="s">
        <v>4</v>
      </c>
      <c r="O4" s="106" t="s">
        <v>40</v>
      </c>
      <c r="P4" s="106" t="s">
        <v>41</v>
      </c>
      <c r="Q4" s="106" t="s">
        <v>28</v>
      </c>
      <c r="R4" s="106" t="s">
        <v>29</v>
      </c>
    </row>
    <row r="5" spans="2:18">
      <c r="B5" s="143"/>
      <c r="C5" s="135"/>
      <c r="D5" s="135"/>
      <c r="E5" s="135"/>
      <c r="H5" s="135"/>
      <c r="J5" s="99" t="s">
        <v>146</v>
      </c>
      <c r="L5" s="99" t="s">
        <v>191</v>
      </c>
    </row>
    <row r="7" spans="2:18">
      <c r="J7" s="144"/>
      <c r="K7" s="144"/>
    </row>
    <row r="8" spans="2:18">
      <c r="D8" s="107" t="s">
        <v>13</v>
      </c>
      <c r="E8" s="107"/>
      <c r="F8" s="107"/>
      <c r="G8" s="145"/>
      <c r="H8" s="145"/>
      <c r="J8" s="102" t="s">
        <v>15</v>
      </c>
      <c r="K8" s="102"/>
      <c r="L8" s="103"/>
      <c r="M8" s="103"/>
      <c r="N8" s="103"/>
      <c r="O8" s="103"/>
      <c r="P8" s="103"/>
      <c r="Q8" s="103"/>
      <c r="R8" s="103"/>
    </row>
    <row r="9" spans="2:18" ht="25.15" customHeight="1">
      <c r="B9" s="146" t="s">
        <v>1</v>
      </c>
      <c r="C9" s="146" t="s">
        <v>5</v>
      </c>
      <c r="D9" s="146" t="s">
        <v>6</v>
      </c>
      <c r="E9" s="147" t="s">
        <v>109</v>
      </c>
      <c r="F9" s="147" t="s">
        <v>74</v>
      </c>
      <c r="G9" s="147" t="s">
        <v>72</v>
      </c>
      <c r="H9" s="148"/>
      <c r="I9" s="149"/>
      <c r="J9" s="104" t="s">
        <v>11</v>
      </c>
      <c r="K9" s="105" t="s">
        <v>30</v>
      </c>
      <c r="L9" s="104" t="s">
        <v>1</v>
      </c>
      <c r="M9" s="104" t="s">
        <v>2</v>
      </c>
      <c r="N9" s="104" t="s">
        <v>16</v>
      </c>
      <c r="O9" s="104" t="s">
        <v>17</v>
      </c>
      <c r="P9" s="104" t="s">
        <v>18</v>
      </c>
      <c r="Q9" s="104" t="s">
        <v>19</v>
      </c>
      <c r="R9" s="104" t="s">
        <v>20</v>
      </c>
    </row>
    <row r="10" spans="2:18" ht="36.75" thickBot="1">
      <c r="B10" s="150" t="s">
        <v>39</v>
      </c>
      <c r="C10" s="150" t="s">
        <v>32</v>
      </c>
      <c r="D10" s="150" t="s">
        <v>33</v>
      </c>
      <c r="E10" s="150" t="s">
        <v>108</v>
      </c>
      <c r="F10" s="150" t="s">
        <v>76</v>
      </c>
      <c r="G10" s="150" t="s">
        <v>107</v>
      </c>
      <c r="H10" s="151"/>
      <c r="J10" s="106" t="s">
        <v>38</v>
      </c>
      <c r="K10" s="106" t="s">
        <v>31</v>
      </c>
      <c r="L10" s="106" t="s">
        <v>21</v>
      </c>
      <c r="M10" s="106" t="s">
        <v>22</v>
      </c>
      <c r="N10" s="106" t="s">
        <v>23</v>
      </c>
      <c r="O10" s="106" t="s">
        <v>24</v>
      </c>
      <c r="P10" s="106" t="s">
        <v>43</v>
      </c>
      <c r="Q10" s="106" t="s">
        <v>42</v>
      </c>
      <c r="R10" s="106" t="s">
        <v>25</v>
      </c>
    </row>
    <row r="11" spans="2:18" ht="12.75" thickBot="1">
      <c r="B11" s="111" t="s">
        <v>77</v>
      </c>
      <c r="C11" s="111"/>
      <c r="D11" s="111"/>
      <c r="E11" s="112" t="str">
        <f>$F$2</f>
        <v>Pja</v>
      </c>
      <c r="F11" s="112"/>
      <c r="G11" s="112"/>
      <c r="H11" s="152"/>
      <c r="J11" s="106" t="s">
        <v>73</v>
      </c>
      <c r="K11" s="106"/>
      <c r="L11" s="106"/>
      <c r="M11" s="106"/>
      <c r="N11" s="106"/>
      <c r="O11" s="106"/>
      <c r="P11" s="106"/>
      <c r="Q11" s="106"/>
      <c r="R11" s="106"/>
    </row>
    <row r="12" spans="2:18">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15"/>
      <c r="N12" s="103" t="str">
        <f>$E$2</f>
        <v>PJ</v>
      </c>
      <c r="O12" s="103" t="str">
        <f>$F$2</f>
        <v>Pja</v>
      </c>
      <c r="P12" s="103"/>
      <c r="Q12" s="103" t="s">
        <v>110</v>
      </c>
      <c r="R12" s="103"/>
    </row>
    <row r="13" spans="2:18">
      <c r="D13" s="98" t="s">
        <v>174</v>
      </c>
      <c r="E13" s="153">
        <f>D31</f>
        <v>0.28207840098286252</v>
      </c>
      <c r="F13" s="242"/>
      <c r="G13" s="243"/>
      <c r="M13" s="119"/>
    </row>
    <row r="14" spans="2:18">
      <c r="D14" s="98" t="s">
        <v>93</v>
      </c>
      <c r="E14" s="153">
        <f>D34</f>
        <v>0.3829589517783773</v>
      </c>
      <c r="F14" s="242"/>
      <c r="G14" s="243"/>
      <c r="M14" s="119"/>
    </row>
    <row r="15" spans="2:18">
      <c r="D15" s="98" t="s">
        <v>175</v>
      </c>
      <c r="E15" s="153">
        <f>D35</f>
        <v>0.10962517596402253</v>
      </c>
      <c r="F15" s="242"/>
      <c r="G15" s="243"/>
      <c r="M15" s="119"/>
    </row>
    <row r="16" spans="2:18">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J13"/>
  <sheetViews>
    <sheetView zoomScale="85" zoomScaleNormal="85" workbookViewId="0">
      <selection activeCell="F14" sqref="F14"/>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0">
      <c r="B4" s="157" t="s">
        <v>139</v>
      </c>
      <c r="C4" s="98"/>
      <c r="D4" s="98"/>
      <c r="E4" s="98"/>
      <c r="F4" s="98"/>
      <c r="G4" s="98"/>
      <c r="H4" s="98"/>
    </row>
    <row r="5" spans="2:10" ht="12.75" thickBot="1">
      <c r="B5" s="158" t="s">
        <v>0</v>
      </c>
      <c r="C5" s="159" t="s">
        <v>142</v>
      </c>
      <c r="D5" s="159" t="s">
        <v>444</v>
      </c>
      <c r="E5" s="159" t="s">
        <v>143</v>
      </c>
      <c r="F5" s="159" t="s">
        <v>144</v>
      </c>
      <c r="G5" s="159" t="s">
        <v>140</v>
      </c>
      <c r="H5" s="159" t="s">
        <v>141</v>
      </c>
      <c r="I5" s="159" t="s">
        <v>445</v>
      </c>
    </row>
    <row r="6" spans="2:10">
      <c r="B6" s="160" t="s">
        <v>145</v>
      </c>
      <c r="C6" s="99">
        <v>1</v>
      </c>
      <c r="D6" s="99">
        <v>1</v>
      </c>
      <c r="E6" s="99">
        <v>1</v>
      </c>
      <c r="F6" s="99">
        <v>1</v>
      </c>
      <c r="G6" s="161">
        <v>1</v>
      </c>
      <c r="H6" s="99">
        <v>1</v>
      </c>
      <c r="I6" s="99">
        <v>1</v>
      </c>
    </row>
    <row r="9" spans="2:10">
      <c r="B9" s="102" t="s">
        <v>14</v>
      </c>
      <c r="C9" s="102"/>
      <c r="D9" s="103"/>
      <c r="E9" s="103"/>
      <c r="F9" s="103"/>
      <c r="G9" s="103"/>
      <c r="H9" s="103"/>
      <c r="I9" s="103"/>
      <c r="J9" s="103"/>
    </row>
    <row r="10" spans="2:10">
      <c r="B10" s="104" t="s">
        <v>7</v>
      </c>
      <c r="C10" s="105" t="s">
        <v>30</v>
      </c>
      <c r="D10" s="104" t="s">
        <v>0</v>
      </c>
      <c r="E10" s="104" t="s">
        <v>3</v>
      </c>
      <c r="F10" s="104" t="s">
        <v>4</v>
      </c>
      <c r="G10" s="104" t="s">
        <v>8</v>
      </c>
      <c r="H10" s="104" t="s">
        <v>9</v>
      </c>
      <c r="I10" s="104" t="s">
        <v>10</v>
      </c>
      <c r="J10" s="104" t="s">
        <v>12</v>
      </c>
    </row>
    <row r="11" spans="2:10" ht="24.75" thickBot="1">
      <c r="B11" s="106" t="s">
        <v>37</v>
      </c>
      <c r="C11" s="106" t="s">
        <v>31</v>
      </c>
      <c r="D11" s="106" t="s">
        <v>26</v>
      </c>
      <c r="E11" s="106" t="s">
        <v>27</v>
      </c>
      <c r="F11" s="106" t="s">
        <v>4</v>
      </c>
      <c r="G11" s="106" t="s">
        <v>40</v>
      </c>
      <c r="H11" s="106" t="s">
        <v>41</v>
      </c>
      <c r="I11" s="106" t="s">
        <v>28</v>
      </c>
      <c r="J11" s="106" t="s">
        <v>29</v>
      </c>
    </row>
    <row r="12" spans="2:10">
      <c r="B12" s="103" t="s">
        <v>146</v>
      </c>
      <c r="C12" s="103"/>
      <c r="D12" s="103" t="str">
        <f>B6</f>
        <v>TOTCO2</v>
      </c>
      <c r="E12" s="103" t="s">
        <v>147</v>
      </c>
      <c r="F12" s="103" t="str">
        <f>'EB1'!G27</f>
        <v>kt</v>
      </c>
      <c r="G12" s="103"/>
      <c r="H12" s="103"/>
      <c r="I12" s="103"/>
      <c r="J12" s="103"/>
    </row>
    <row r="13" spans="2:10">
      <c r="B13" s="103" t="s">
        <v>146</v>
      </c>
      <c r="C13" s="103"/>
      <c r="D13" s="103" t="s">
        <v>143</v>
      </c>
      <c r="E13" s="103" t="s">
        <v>679</v>
      </c>
      <c r="F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52"/>
      <c r="E161" s="555">
        <v>2016</v>
      </c>
      <c r="F161" s="555"/>
      <c r="G161" s="555"/>
      <c r="H161" s="555"/>
      <c r="I161" s="555"/>
      <c r="J161" s="555"/>
      <c r="K161" s="555"/>
      <c r="L161" s="555"/>
      <c r="M161" s="555"/>
      <c r="N161" s="555"/>
      <c r="O161" s="555"/>
      <c r="P161" s="556"/>
    </row>
    <row r="162" spans="4:16" ht="12.75">
      <c r="D162" s="553"/>
      <c r="E162" s="557" t="s">
        <v>223</v>
      </c>
      <c r="F162" s="555"/>
      <c r="G162" s="555"/>
      <c r="H162" s="555"/>
      <c r="I162" s="555"/>
      <c r="J162" s="556"/>
      <c r="K162" s="557" t="s">
        <v>224</v>
      </c>
      <c r="L162" s="555"/>
      <c r="M162" s="555"/>
      <c r="N162" s="555"/>
      <c r="O162" s="558" t="s">
        <v>225</v>
      </c>
      <c r="P162" s="559"/>
    </row>
    <row r="163" spans="4:16" ht="12.75">
      <c r="D163" s="553"/>
      <c r="E163" s="562" t="s">
        <v>198</v>
      </c>
      <c r="F163" s="563"/>
      <c r="G163" s="562" t="s">
        <v>226</v>
      </c>
      <c r="H163" s="563"/>
      <c r="I163" s="564" t="s">
        <v>158</v>
      </c>
      <c r="J163" s="563"/>
      <c r="K163" s="562" t="s">
        <v>216</v>
      </c>
      <c r="L163" s="564"/>
      <c r="M163" s="562" t="s">
        <v>215</v>
      </c>
      <c r="N163" s="564"/>
      <c r="O163" s="560"/>
      <c r="P163" s="561"/>
    </row>
    <row r="164" spans="4:16" ht="25.5">
      <c r="D164" s="554"/>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42" zoomScale="85" zoomScaleNormal="85" workbookViewId="0">
      <selection activeCell="A50" sqref="A50"/>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36" t="s">
        <v>150</v>
      </c>
      <c r="E30" s="536"/>
      <c r="F30" s="536"/>
      <c r="G30" s="536"/>
      <c r="H30" s="536"/>
      <c r="I30" s="537" t="s">
        <v>151</v>
      </c>
      <c r="J30" s="537"/>
      <c r="K30" s="537"/>
      <c r="L30" s="537"/>
      <c r="M30" s="537"/>
      <c r="N30" s="537"/>
      <c r="O30" s="537"/>
      <c r="P30" s="537"/>
      <c r="Q30" s="58" t="s">
        <v>52</v>
      </c>
      <c r="R30" s="538" t="s">
        <v>152</v>
      </c>
      <c r="S30" s="538"/>
      <c r="T30" s="538"/>
      <c r="U30" s="538"/>
      <c r="V30" s="538"/>
      <c r="W30" s="538"/>
      <c r="X30" s="538"/>
      <c r="Y30" s="539"/>
      <c r="Z30" s="77"/>
      <c r="AA30" s="59" t="s">
        <v>75</v>
      </c>
      <c r="AB30" s="60" t="s">
        <v>153</v>
      </c>
      <c r="AC30" s="540"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40"/>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26" t="s">
        <v>330</v>
      </c>
      <c r="B45" s="526"/>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27">
        <v>2015</v>
      </c>
      <c r="B46" s="528"/>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29" t="s">
        <v>439</v>
      </c>
      <c r="B47" s="530"/>
      <c r="C47" s="380"/>
      <c r="D47" s="533" t="s">
        <v>150</v>
      </c>
      <c r="E47" s="534"/>
      <c r="F47" s="534"/>
      <c r="G47" s="534"/>
      <c r="H47" s="535"/>
      <c r="I47" s="546" t="s">
        <v>151</v>
      </c>
      <c r="J47" s="547"/>
      <c r="K47" s="547"/>
      <c r="L47" s="547"/>
      <c r="M47" s="547"/>
      <c r="N47" s="547"/>
      <c r="O47" s="547"/>
      <c r="P47" s="548"/>
      <c r="Q47" s="399" t="s">
        <v>52</v>
      </c>
      <c r="R47" s="541" t="s">
        <v>152</v>
      </c>
      <c r="S47" s="542"/>
      <c r="T47" s="542"/>
      <c r="U47" s="542"/>
      <c r="V47" s="542"/>
      <c r="W47" s="542"/>
      <c r="X47" s="542"/>
      <c r="Y47" s="543"/>
      <c r="Z47" s="381" t="s">
        <v>75</v>
      </c>
      <c r="AA47" s="382" t="s">
        <v>153</v>
      </c>
      <c r="AB47" s="544" t="s">
        <v>154</v>
      </c>
    </row>
    <row r="48" spans="1:29" ht="51" customHeight="1" thickBot="1">
      <c r="A48" s="531"/>
      <c r="B48" s="532"/>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45"/>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49" t="s">
        <v>120</v>
      </c>
      <c r="E5" s="550"/>
      <c r="F5" s="550"/>
      <c r="G5" s="550"/>
      <c r="H5" s="550"/>
      <c r="I5" s="550"/>
      <c r="J5" s="550"/>
      <c r="K5" s="550"/>
      <c r="L5" s="550"/>
      <c r="M5" s="550"/>
      <c r="N5" s="550"/>
      <c r="O5" s="550"/>
      <c r="P5" s="550"/>
      <c r="Q5" s="551"/>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N50"/>
  <sheetViews>
    <sheetView zoomScale="85" zoomScaleNormal="85" workbookViewId="0">
      <selection activeCell="L43" sqref="L43"/>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14.42578125" style="99" bestFit="1" customWidth="1"/>
    <col min="11" max="11" width="12.2851562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0">
      <c r="B1" s="100" t="s">
        <v>66</v>
      </c>
      <c r="C1" s="100" t="s">
        <v>67</v>
      </c>
      <c r="D1" s="100" t="s">
        <v>68</v>
      </c>
      <c r="E1" s="100" t="s">
        <v>70</v>
      </c>
      <c r="F1" s="100" t="s">
        <v>71</v>
      </c>
    </row>
    <row r="2" spans="2:10">
      <c r="B2" s="162" t="str">
        <f>'EB1'!H31</f>
        <v>Coal</v>
      </c>
      <c r="C2" s="162" t="str">
        <f>'EB1'!F32</f>
        <v>COA</v>
      </c>
      <c r="D2" s="162" t="str">
        <f>'EB1'!F31</f>
        <v>Bituminous &amp; Sub-bitum.</v>
      </c>
      <c r="E2" s="162" t="str">
        <f>'EB1'!F27</f>
        <v>PJ</v>
      </c>
      <c r="F2" s="162" t="str">
        <f>'EB1'!D27</f>
        <v>Milion NZD (2015)</v>
      </c>
    </row>
    <row r="3" spans="2:10">
      <c r="B3" s="162"/>
      <c r="C3" s="162" t="str">
        <f>'EB1'!G32</f>
        <v>COL</v>
      </c>
      <c r="D3" s="162" t="str">
        <f>'EB1'!G31</f>
        <v>Lignite</v>
      </c>
      <c r="E3" s="162" t="str">
        <f>'EB1'!F27</f>
        <v>PJ</v>
      </c>
      <c r="F3" s="162"/>
    </row>
    <row r="5" spans="2:10" ht="12.75" customHeight="1"/>
    <row r="6" spans="2:10" ht="12.75" customHeight="1">
      <c r="B6" s="102" t="s">
        <v>14</v>
      </c>
      <c r="C6" s="102"/>
      <c r="D6" s="103"/>
      <c r="E6" s="103"/>
      <c r="F6" s="103"/>
      <c r="G6" s="103"/>
      <c r="H6" s="103"/>
      <c r="I6" s="103"/>
      <c r="J6" s="103"/>
    </row>
    <row r="7" spans="2:10">
      <c r="B7" s="104" t="s">
        <v>7</v>
      </c>
      <c r="C7" s="105" t="s">
        <v>30</v>
      </c>
      <c r="D7" s="104" t="s">
        <v>0</v>
      </c>
      <c r="E7" s="104" t="s">
        <v>3</v>
      </c>
      <c r="F7" s="104" t="s">
        <v>4</v>
      </c>
      <c r="G7" s="104" t="s">
        <v>8</v>
      </c>
      <c r="H7" s="104" t="s">
        <v>9</v>
      </c>
      <c r="I7" s="104" t="s">
        <v>10</v>
      </c>
      <c r="J7" s="104" t="s">
        <v>12</v>
      </c>
    </row>
    <row r="8" spans="2:10" ht="24.75" thickBot="1">
      <c r="B8" s="106" t="s">
        <v>37</v>
      </c>
      <c r="C8" s="106" t="s">
        <v>31</v>
      </c>
      <c r="D8" s="106" t="s">
        <v>26</v>
      </c>
      <c r="E8" s="106" t="s">
        <v>27</v>
      </c>
      <c r="F8" s="106" t="s">
        <v>4</v>
      </c>
      <c r="G8" s="106" t="s">
        <v>40</v>
      </c>
      <c r="H8" s="106" t="s">
        <v>41</v>
      </c>
      <c r="I8" s="106" t="s">
        <v>28</v>
      </c>
      <c r="J8" s="106" t="s">
        <v>29</v>
      </c>
    </row>
    <row r="9" spans="2:10">
      <c r="B9" s="103" t="s">
        <v>65</v>
      </c>
      <c r="C9" s="103"/>
      <c r="D9" s="103" t="str">
        <f>C2</f>
        <v>COA</v>
      </c>
      <c r="E9" s="103" t="s">
        <v>454</v>
      </c>
      <c r="F9" s="103" t="str">
        <f>$E$2</f>
        <v>PJ</v>
      </c>
      <c r="G9" s="103"/>
      <c r="H9" s="103" t="s">
        <v>192</v>
      </c>
      <c r="I9" s="103"/>
      <c r="J9" s="103"/>
    </row>
    <row r="10" spans="2:10">
      <c r="B10" s="103" t="s">
        <v>65</v>
      </c>
      <c r="C10" s="103"/>
      <c r="D10" s="103" t="s">
        <v>173</v>
      </c>
      <c r="E10" s="103" t="s">
        <v>455</v>
      </c>
      <c r="F10" s="103" t="str">
        <f>$E$2</f>
        <v>PJ</v>
      </c>
      <c r="G10" s="103"/>
      <c r="H10" s="103" t="s">
        <v>192</v>
      </c>
      <c r="I10" s="103"/>
      <c r="J10" s="103"/>
    </row>
    <row r="12" spans="2:10" ht="15.75" customHeight="1">
      <c r="B12" s="102" t="s">
        <v>15</v>
      </c>
      <c r="C12" s="102"/>
      <c r="D12" s="103"/>
      <c r="E12" s="103"/>
      <c r="F12" s="103"/>
      <c r="G12" s="103"/>
      <c r="H12" s="103"/>
      <c r="I12" s="103"/>
      <c r="J12" s="103"/>
    </row>
    <row r="13" spans="2:10" ht="15.75" customHeight="1">
      <c r="B13" s="104" t="s">
        <v>11</v>
      </c>
      <c r="C13" s="105" t="s">
        <v>30</v>
      </c>
      <c r="D13" s="104" t="s">
        <v>1</v>
      </c>
      <c r="E13" s="104" t="s">
        <v>2</v>
      </c>
      <c r="F13" s="104" t="s">
        <v>16</v>
      </c>
      <c r="G13" s="104" t="s">
        <v>17</v>
      </c>
      <c r="H13" s="104" t="s">
        <v>18</v>
      </c>
      <c r="I13" s="104" t="s">
        <v>19</v>
      </c>
      <c r="J13" s="104" t="s">
        <v>20</v>
      </c>
    </row>
    <row r="14" spans="2:10" ht="15.75" customHeight="1" thickBot="1">
      <c r="B14" s="106" t="s">
        <v>38</v>
      </c>
      <c r="C14" s="106" t="s">
        <v>31</v>
      </c>
      <c r="D14" s="106" t="s">
        <v>21</v>
      </c>
      <c r="E14" s="106" t="s">
        <v>22</v>
      </c>
      <c r="F14" s="106" t="s">
        <v>23</v>
      </c>
      <c r="G14" s="106" t="s">
        <v>24</v>
      </c>
      <c r="H14" s="106" t="s">
        <v>43</v>
      </c>
      <c r="I14" s="106" t="s">
        <v>42</v>
      </c>
      <c r="J14" s="106" t="s">
        <v>25</v>
      </c>
    </row>
    <row r="15" spans="2:10" ht="15.75" customHeight="1" thickBot="1">
      <c r="B15" s="106" t="s">
        <v>73</v>
      </c>
      <c r="C15" s="113"/>
      <c r="D15" s="113"/>
      <c r="E15" s="113"/>
      <c r="F15" s="113"/>
      <c r="G15" s="113"/>
      <c r="H15" s="113"/>
      <c r="I15" s="113"/>
      <c r="J15" s="113"/>
    </row>
    <row r="16" spans="2:10" ht="15.75" customHeight="1">
      <c r="B16" s="103" t="str">
        <f>'EB1'!$B$5</f>
        <v>MIN</v>
      </c>
      <c r="C16" s="103"/>
      <c r="D16" s="103" t="str">
        <f>$B$16&amp;$C$2&amp;1</f>
        <v>MINCOA1</v>
      </c>
      <c r="E16" s="115"/>
      <c r="F16" s="103" t="str">
        <f t="shared" ref="F16:F21" si="0">$E$2</f>
        <v>PJ</v>
      </c>
      <c r="G16" s="103" t="str">
        <f t="shared" ref="G16:G21" si="1">$E$2&amp;"a"</f>
        <v>PJa</v>
      </c>
      <c r="H16" s="103"/>
      <c r="I16" s="103"/>
      <c r="J16" s="103"/>
    </row>
    <row r="17" spans="2:14" ht="15.75" customHeight="1">
      <c r="B17" s="103"/>
      <c r="C17" s="103"/>
      <c r="D17" s="103" t="str">
        <f>$B$16&amp;$C$3&amp;1</f>
        <v>MINCOL1</v>
      </c>
      <c r="E17" s="115"/>
      <c r="F17" s="103" t="str">
        <f t="shared" si="0"/>
        <v>PJ</v>
      </c>
      <c r="G17" s="103" t="str">
        <f t="shared" si="1"/>
        <v>PJa</v>
      </c>
      <c r="H17" s="103"/>
      <c r="I17" s="103"/>
      <c r="J17" s="103"/>
    </row>
    <row r="18" spans="2:14" ht="15.75" customHeight="1">
      <c r="B18" s="103" t="str">
        <f>'EB1'!$B$6</f>
        <v>IMP</v>
      </c>
      <c r="C18" s="103"/>
      <c r="D18" s="103" t="str">
        <f>$B$18&amp;$C$2&amp;1</f>
        <v>IMPCOA1</v>
      </c>
      <c r="E18" s="115"/>
      <c r="F18" s="103" t="str">
        <f t="shared" si="0"/>
        <v>PJ</v>
      </c>
      <c r="G18" s="103" t="str">
        <f t="shared" si="1"/>
        <v>PJa</v>
      </c>
      <c r="H18" s="103"/>
      <c r="I18" s="103"/>
      <c r="J18" s="103"/>
    </row>
    <row r="19" spans="2:14">
      <c r="B19" s="103"/>
      <c r="C19" s="103"/>
      <c r="D19" s="103" t="str">
        <f>$B$18&amp;$C$3&amp;1</f>
        <v>IMPCOL1</v>
      </c>
      <c r="E19" s="115"/>
      <c r="F19" s="103" t="str">
        <f t="shared" si="0"/>
        <v>PJ</v>
      </c>
      <c r="G19" s="103" t="str">
        <f t="shared" si="1"/>
        <v>PJa</v>
      </c>
      <c r="H19" s="103"/>
      <c r="I19" s="103"/>
      <c r="J19" s="103"/>
    </row>
    <row r="20" spans="2:14">
      <c r="B20" s="103" t="str">
        <f>'EB1'!B7</f>
        <v>EXP</v>
      </c>
      <c r="C20" s="103"/>
      <c r="D20" s="103" t="str">
        <f>$B$20&amp;$C$2&amp;1</f>
        <v>EXPCOA1</v>
      </c>
      <c r="E20" s="115"/>
      <c r="F20" s="103" t="str">
        <f t="shared" si="0"/>
        <v>PJ</v>
      </c>
      <c r="G20" s="103" t="str">
        <f t="shared" si="1"/>
        <v>PJa</v>
      </c>
      <c r="H20" s="103"/>
      <c r="I20" s="103"/>
      <c r="J20" s="103"/>
    </row>
    <row r="21" spans="2:14">
      <c r="C21" s="103"/>
      <c r="D21" s="99" t="str">
        <f>B20&amp;D10&amp;1</f>
        <v>EXPCOL1</v>
      </c>
      <c r="E21" s="115"/>
      <c r="F21" s="103" t="str">
        <f t="shared" si="0"/>
        <v>PJ</v>
      </c>
      <c r="G21" s="103" t="str">
        <f t="shared" si="1"/>
        <v>PJa</v>
      </c>
    </row>
    <row r="29" spans="2:14">
      <c r="D29" s="107" t="s">
        <v>13</v>
      </c>
      <c r="F29" s="107"/>
    </row>
    <row r="30" spans="2:14">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4"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4"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2">D16</f>
        <v>MINCOA1</v>
      </c>
      <c r="D33" s="99" t="str">
        <f>$D$9</f>
        <v>COA</v>
      </c>
      <c r="E33" s="244"/>
      <c r="F33" s="247">
        <v>7.39</v>
      </c>
      <c r="G33" s="247"/>
      <c r="H33" s="247"/>
      <c r="I33" s="247"/>
      <c r="J33" s="247"/>
      <c r="K33" s="247"/>
      <c r="L33" s="247"/>
      <c r="M33" s="247"/>
      <c r="N33" s="245">
        <f>+N37+10</f>
        <v>48.572501769699997</v>
      </c>
    </row>
    <row r="34" spans="2:14">
      <c r="B34" s="99" t="str">
        <f t="shared" si="2"/>
        <v>MINCOL1</v>
      </c>
      <c r="D34" s="99" t="s">
        <v>173</v>
      </c>
      <c r="E34" s="244"/>
      <c r="F34" s="247">
        <v>7.39</v>
      </c>
      <c r="G34" s="247"/>
      <c r="H34" s="247"/>
      <c r="I34" s="247"/>
      <c r="J34" s="247"/>
      <c r="K34" s="247"/>
      <c r="L34" s="247"/>
      <c r="M34" s="247"/>
      <c r="N34" s="245">
        <v>5.5</v>
      </c>
    </row>
    <row r="35" spans="2:14">
      <c r="B35" s="99" t="str">
        <f t="shared" si="2"/>
        <v>IMPCOA1</v>
      </c>
      <c r="D35" s="99" t="str">
        <f>$D$9</f>
        <v>COA</v>
      </c>
      <c r="E35" s="117"/>
      <c r="F35" s="247">
        <v>7.39</v>
      </c>
      <c r="G35" s="247"/>
      <c r="H35" s="247"/>
      <c r="I35" s="247"/>
      <c r="J35" s="247"/>
      <c r="K35" s="247"/>
      <c r="L35" s="247"/>
      <c r="M35" s="247"/>
      <c r="N35" s="245">
        <v>0</v>
      </c>
    </row>
    <row r="36" spans="2:14">
      <c r="B36" s="99" t="str">
        <f t="shared" si="2"/>
        <v>IMPCOL1</v>
      </c>
      <c r="D36" s="99" t="s">
        <v>173</v>
      </c>
      <c r="E36" s="117"/>
      <c r="F36" s="247">
        <v>7.39</v>
      </c>
      <c r="G36" s="247"/>
      <c r="H36" s="247"/>
      <c r="I36" s="247"/>
      <c r="J36" s="247"/>
      <c r="K36" s="247"/>
      <c r="L36" s="247"/>
      <c r="M36" s="247"/>
      <c r="N36" s="245">
        <v>0</v>
      </c>
    </row>
    <row r="37" spans="2:14">
      <c r="B37" s="99" t="str">
        <f t="shared" si="2"/>
        <v>EXPCOA1</v>
      </c>
      <c r="C37" s="99" t="str">
        <f>$D$9</f>
        <v>COA</v>
      </c>
      <c r="E37" s="117"/>
      <c r="F37" s="247">
        <v>3.2</v>
      </c>
      <c r="G37" s="247"/>
      <c r="H37" s="247"/>
      <c r="I37" s="247"/>
      <c r="J37" s="247"/>
      <c r="K37" s="247"/>
      <c r="L37" s="247"/>
      <c r="M37" s="247"/>
      <c r="N37" s="245">
        <f>+[3]EB1!F52</f>
        <v>38.572501769699997</v>
      </c>
    </row>
    <row r="38" spans="2:14">
      <c r="B38" s="99" t="str">
        <f t="shared" si="2"/>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2"/>
  <sheetViews>
    <sheetView topLeftCell="A5" zoomScale="85" zoomScaleNormal="85" workbookViewId="0">
      <selection activeCell="A20" sqref="A20"/>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7.140625" style="99" customWidth="1"/>
    <col min="11" max="11" width="11.42578125" style="99" bestFit="1" customWidth="1"/>
    <col min="12" max="12" width="35" style="99" bestFit="1" customWidth="1"/>
    <col min="13" max="13" width="6.7109375" style="99" customWidth="1"/>
    <col min="14" max="14" width="11.5703125" style="99" customWidth="1"/>
    <col min="15" max="15" width="13" style="99" customWidth="1"/>
    <col min="16" max="16" width="15.140625" style="99" customWidth="1"/>
    <col min="17" max="17" width="7.5703125" style="99" bestFit="1" customWidth="1"/>
    <col min="18" max="16384" width="9.140625" style="99"/>
  </cols>
  <sheetData>
    <row r="1" spans="2:17">
      <c r="B1" s="100" t="s">
        <v>66</v>
      </c>
      <c r="C1" s="100" t="s">
        <v>67</v>
      </c>
      <c r="D1" s="100" t="s">
        <v>68</v>
      </c>
      <c r="E1" s="100" t="s">
        <v>70</v>
      </c>
      <c r="F1" s="100" t="s">
        <v>71</v>
      </c>
    </row>
    <row r="2" spans="2:17">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17">
      <c r="I3" s="104" t="s">
        <v>7</v>
      </c>
      <c r="J3" s="105" t="s">
        <v>30</v>
      </c>
      <c r="K3" s="104" t="s">
        <v>0</v>
      </c>
      <c r="L3" s="104" t="s">
        <v>3</v>
      </c>
      <c r="M3" s="104" t="s">
        <v>4</v>
      </c>
      <c r="N3" s="104" t="s">
        <v>8</v>
      </c>
      <c r="O3" s="104" t="s">
        <v>9</v>
      </c>
      <c r="P3" s="104" t="s">
        <v>10</v>
      </c>
      <c r="Q3" s="104" t="s">
        <v>12</v>
      </c>
    </row>
    <row r="4" spans="2:17" ht="48.75" thickBot="1">
      <c r="I4" s="106" t="s">
        <v>37</v>
      </c>
      <c r="J4" s="106" t="s">
        <v>31</v>
      </c>
      <c r="K4" s="106" t="s">
        <v>26</v>
      </c>
      <c r="L4" s="106" t="s">
        <v>27</v>
      </c>
      <c r="M4" s="106" t="s">
        <v>4</v>
      </c>
      <c r="N4" s="106" t="s">
        <v>40</v>
      </c>
      <c r="O4" s="106" t="s">
        <v>41</v>
      </c>
      <c r="P4" s="106" t="s">
        <v>28</v>
      </c>
      <c r="Q4" s="106" t="s">
        <v>29</v>
      </c>
    </row>
    <row r="5" spans="2:17">
      <c r="I5" s="103" t="s">
        <v>65</v>
      </c>
      <c r="J5" s="103"/>
      <c r="K5" s="103" t="str">
        <f>C2</f>
        <v>NGA</v>
      </c>
      <c r="L5" s="103"/>
      <c r="M5" s="103" t="str">
        <f>$E$2</f>
        <v>PJ</v>
      </c>
      <c r="N5" s="103"/>
      <c r="O5" s="103"/>
      <c r="P5" s="103"/>
      <c r="Q5" s="103"/>
    </row>
    <row r="7" spans="2:17">
      <c r="D7" s="107"/>
      <c r="F7" s="107"/>
      <c r="I7" s="102" t="s">
        <v>15</v>
      </c>
      <c r="J7" s="102"/>
      <c r="K7" s="103"/>
      <c r="L7" s="103"/>
      <c r="M7" s="103"/>
      <c r="N7" s="103"/>
      <c r="O7" s="103"/>
      <c r="P7" s="103"/>
      <c r="Q7" s="103"/>
    </row>
    <row r="8" spans="2:17">
      <c r="B8" s="108"/>
      <c r="C8" s="109"/>
      <c r="D8" s="108"/>
      <c r="E8" s="110"/>
      <c r="F8" s="110"/>
      <c r="G8" s="110"/>
      <c r="I8" s="104" t="s">
        <v>11</v>
      </c>
      <c r="J8" s="105" t="s">
        <v>30</v>
      </c>
      <c r="K8" s="104" t="s">
        <v>1</v>
      </c>
      <c r="L8" s="104" t="s">
        <v>2</v>
      </c>
      <c r="M8" s="104" t="s">
        <v>16</v>
      </c>
      <c r="N8" s="104" t="s">
        <v>17</v>
      </c>
      <c r="O8" s="104" t="s">
        <v>18</v>
      </c>
      <c r="P8" s="104" t="s">
        <v>19</v>
      </c>
      <c r="Q8" s="104" t="s">
        <v>20</v>
      </c>
    </row>
    <row r="9" spans="2:17" ht="36.75" thickBot="1">
      <c r="B9" s="111"/>
      <c r="C9" s="111"/>
      <c r="D9" s="111"/>
      <c r="E9" s="111"/>
      <c r="F9" s="111"/>
      <c r="G9" s="111"/>
      <c r="I9" s="106" t="s">
        <v>38</v>
      </c>
      <c r="J9" s="106" t="s">
        <v>31</v>
      </c>
      <c r="K9" s="106" t="s">
        <v>21</v>
      </c>
      <c r="L9" s="106" t="s">
        <v>22</v>
      </c>
      <c r="M9" s="106" t="s">
        <v>23</v>
      </c>
      <c r="N9" s="106" t="s">
        <v>24</v>
      </c>
      <c r="O9" s="106" t="s">
        <v>43</v>
      </c>
      <c r="P9" s="106" t="s">
        <v>42</v>
      </c>
      <c r="Q9" s="106" t="s">
        <v>25</v>
      </c>
    </row>
    <row r="10" spans="2:17" ht="12.75" thickBot="1">
      <c r="B10" s="111"/>
      <c r="C10" s="112"/>
      <c r="D10" s="112"/>
      <c r="E10" s="112"/>
      <c r="F10" s="112"/>
      <c r="G10" s="112"/>
      <c r="I10" s="106" t="s">
        <v>73</v>
      </c>
      <c r="J10" s="113"/>
      <c r="K10" s="113"/>
      <c r="L10" s="113"/>
      <c r="M10" s="113"/>
      <c r="N10" s="113"/>
      <c r="O10" s="113"/>
      <c r="P10" s="113"/>
      <c r="Q10" s="113"/>
    </row>
    <row r="11" spans="2:17">
      <c r="E11" s="114"/>
      <c r="F11" s="247"/>
      <c r="G11" s="114"/>
      <c r="I11" s="103" t="str">
        <f>'EB1'!$B$5</f>
        <v>MIN</v>
      </c>
      <c r="J11" s="103"/>
      <c r="K11" s="103" t="str">
        <f>$I$11&amp;$C$2&amp;1</f>
        <v>MINNGA1</v>
      </c>
      <c r="L11" s="115"/>
      <c r="M11" s="103" t="str">
        <f>$E$2</f>
        <v>PJ</v>
      </c>
      <c r="N11" s="103" t="str">
        <f>$E$2&amp;"a"</f>
        <v>PJa</v>
      </c>
      <c r="O11" s="103"/>
      <c r="P11" s="103"/>
      <c r="Q11" s="103"/>
    </row>
    <row r="12" spans="2:17">
      <c r="E12" s="117"/>
      <c r="F12" s="247"/>
      <c r="G12" s="114"/>
      <c r="I12" s="103" t="str">
        <f>'EB1'!$B$6</f>
        <v>IMP</v>
      </c>
      <c r="J12" s="103"/>
      <c r="K12" s="103" t="str">
        <f>$I$12&amp;$C$2&amp;1</f>
        <v>IMPNGA1</v>
      </c>
      <c r="L12" s="115"/>
      <c r="M12" s="103" t="str">
        <f>$E$2</f>
        <v>PJ</v>
      </c>
      <c r="N12" s="103" t="str">
        <f>$E$2&amp;"a"</f>
        <v>PJa</v>
      </c>
      <c r="O12" s="103"/>
      <c r="P12" s="103"/>
      <c r="Q12" s="103"/>
    </row>
    <row r="13" spans="2:17">
      <c r="E13" s="117"/>
      <c r="F13" s="247"/>
      <c r="G13" s="114"/>
      <c r="I13" s="103" t="str">
        <f>'EB1'!B7</f>
        <v>EXP</v>
      </c>
      <c r="J13" s="103"/>
      <c r="K13" s="103" t="str">
        <f>$I$13&amp;$C$2&amp;1</f>
        <v>EXPNGA1</v>
      </c>
      <c r="L13" s="115"/>
      <c r="M13" s="103" t="str">
        <f>$E$2</f>
        <v>PJ</v>
      </c>
      <c r="N13" s="103" t="str">
        <f>$E$2&amp;"a"</f>
        <v>PJa</v>
      </c>
      <c r="O13" s="103"/>
      <c r="P13" s="103"/>
      <c r="Q13" s="103"/>
    </row>
    <row r="14" spans="2:17">
      <c r="F14" s="118"/>
    </row>
    <row r="16" spans="2:17">
      <c r="K16" s="315" t="s">
        <v>13</v>
      </c>
      <c r="M16" s="315"/>
    </row>
    <row r="17" spans="2:25" ht="24">
      <c r="I17" s="108" t="s">
        <v>1</v>
      </c>
      <c r="J17" s="109" t="s">
        <v>5</v>
      </c>
      <c r="K17" s="108" t="s">
        <v>6</v>
      </c>
      <c r="L17" s="110" t="s">
        <v>34</v>
      </c>
      <c r="M17" s="110" t="s">
        <v>35</v>
      </c>
      <c r="N17" s="110" t="s">
        <v>475</v>
      </c>
      <c r="O17" s="110" t="s">
        <v>349</v>
      </c>
      <c r="P17" s="110" t="s">
        <v>350</v>
      </c>
      <c r="Q17" s="110" t="s">
        <v>351</v>
      </c>
      <c r="R17" s="110" t="s">
        <v>352</v>
      </c>
      <c r="S17" s="110" t="s">
        <v>353</v>
      </c>
      <c r="T17" s="110" t="s">
        <v>354</v>
      </c>
      <c r="U17" s="110" t="s">
        <v>72</v>
      </c>
      <c r="V17" s="110" t="s">
        <v>446</v>
      </c>
      <c r="W17" s="110" t="s">
        <v>404</v>
      </c>
    </row>
    <row r="18" spans="2:25" ht="36.75" thickBot="1">
      <c r="I18" s="316" t="s">
        <v>39</v>
      </c>
      <c r="J18" s="316" t="s">
        <v>32</v>
      </c>
      <c r="K18" s="316" t="s">
        <v>33</v>
      </c>
      <c r="L18" s="316" t="s">
        <v>36</v>
      </c>
      <c r="M18" s="316" t="s">
        <v>79</v>
      </c>
      <c r="N18" s="318" t="s">
        <v>79</v>
      </c>
      <c r="O18" s="318" t="s">
        <v>79</v>
      </c>
      <c r="P18" s="318" t="s">
        <v>79</v>
      </c>
      <c r="Q18" s="318" t="s">
        <v>79</v>
      </c>
      <c r="R18" s="318" t="s">
        <v>79</v>
      </c>
      <c r="S18" s="318" t="s">
        <v>79</v>
      </c>
      <c r="T18" s="318" t="s">
        <v>79</v>
      </c>
      <c r="U18" s="316" t="s">
        <v>78</v>
      </c>
      <c r="V18" s="316" t="s">
        <v>78</v>
      </c>
      <c r="W18" s="316" t="s">
        <v>78</v>
      </c>
    </row>
    <row r="19" spans="2:25" ht="48.75" thickBot="1">
      <c r="I19" s="316" t="s">
        <v>77</v>
      </c>
      <c r="J19" s="317"/>
      <c r="K19" s="317"/>
      <c r="L19" s="317" t="s">
        <v>69</v>
      </c>
      <c r="M19" s="317" t="s">
        <v>355</v>
      </c>
      <c r="N19" s="319"/>
      <c r="O19" s="319"/>
      <c r="P19" s="319"/>
      <c r="Q19" s="319"/>
      <c r="R19" s="319"/>
      <c r="S19" s="319"/>
      <c r="T19" s="319"/>
      <c r="U19" s="317" t="s">
        <v>69</v>
      </c>
    </row>
    <row r="20" spans="2:25">
      <c r="B20" s="99" t="s">
        <v>193</v>
      </c>
      <c r="I20" s="99" t="s">
        <v>356</v>
      </c>
      <c r="K20" s="99" t="s">
        <v>178</v>
      </c>
      <c r="L20" s="114"/>
      <c r="M20" s="247">
        <v>6</v>
      </c>
      <c r="N20" s="247">
        <v>7.5903614457831319</v>
      </c>
      <c r="O20" s="247">
        <v>9.3975903614457827</v>
      </c>
      <c r="P20" s="247">
        <v>11.349397590361443</v>
      </c>
      <c r="Q20" s="247">
        <v>12</v>
      </c>
      <c r="R20" s="247">
        <v>12.72289156626506</v>
      </c>
      <c r="S20" s="247">
        <v>14.385542168674696</v>
      </c>
      <c r="T20" s="247">
        <v>14.457831325301203</v>
      </c>
      <c r="U20" s="114">
        <v>0</v>
      </c>
      <c r="V20" s="99">
        <v>0</v>
      </c>
      <c r="W20" s="99">
        <v>5</v>
      </c>
      <c r="Y20" s="99" t="s">
        <v>467</v>
      </c>
    </row>
    <row r="21" spans="2:25">
      <c r="B21" s="99" t="s">
        <v>214</v>
      </c>
      <c r="I21" s="99" t="s">
        <v>357</v>
      </c>
      <c r="K21" s="99" t="s">
        <v>178</v>
      </c>
      <c r="L21" s="117"/>
      <c r="M21" s="247">
        <v>8.3000000000000007</v>
      </c>
      <c r="N21" s="247">
        <v>10.5</v>
      </c>
      <c r="O21" s="247">
        <v>13</v>
      </c>
      <c r="P21" s="247">
        <v>15.7</v>
      </c>
      <c r="Q21" s="247">
        <v>16.600000000000001</v>
      </c>
      <c r="R21" s="247">
        <v>17.600000000000001</v>
      </c>
      <c r="S21" s="247">
        <v>19.899999999999999</v>
      </c>
      <c r="T21" s="247">
        <v>20</v>
      </c>
      <c r="U21" s="114">
        <v>0</v>
      </c>
      <c r="V21" s="99">
        <v>0</v>
      </c>
      <c r="W21" s="99">
        <v>5</v>
      </c>
    </row>
    <row r="22" spans="2:25">
      <c r="I22" s="99" t="s">
        <v>358</v>
      </c>
      <c r="J22" s="99" t="s">
        <v>178</v>
      </c>
      <c r="L22" s="117"/>
      <c r="M22" s="247">
        <v>6.6400000000000006</v>
      </c>
      <c r="N22" s="247">
        <v>8.4</v>
      </c>
      <c r="O22" s="247">
        <v>10.4</v>
      </c>
      <c r="P22" s="247">
        <v>12.56</v>
      </c>
      <c r="Q22" s="247">
        <v>13.280000000000001</v>
      </c>
      <c r="R22" s="247">
        <v>14.080000000000002</v>
      </c>
      <c r="S22" s="247">
        <v>15.92</v>
      </c>
      <c r="T22" s="247">
        <v>16</v>
      </c>
      <c r="U22" s="114">
        <v>0</v>
      </c>
      <c r="V22" s="99">
        <v>0</v>
      </c>
      <c r="W22"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V65"/>
  <sheetViews>
    <sheetView topLeftCell="A11" zoomScale="70" zoomScaleNormal="70" workbookViewId="0">
      <selection activeCell="V31" sqref="V31"/>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13.7109375" style="120" customWidth="1"/>
    <col min="10" max="10" width="7.140625" style="120" customWidth="1"/>
    <col min="11" max="11" width="11.42578125" style="120" bestFit="1" customWidth="1"/>
    <col min="12" max="12" width="42.140625" style="120" customWidth="1"/>
    <col min="13" max="13" width="6.5703125" style="120" customWidth="1"/>
    <col min="14" max="14" width="11.5703125" style="120" customWidth="1"/>
    <col min="15" max="15" width="13" style="120" customWidth="1"/>
    <col min="16" max="16" width="15.140625" style="120" customWidth="1"/>
    <col min="17" max="17" width="7.5703125" style="120" bestFit="1" customWidth="1"/>
    <col min="18" max="16384" width="9.140625" style="120"/>
  </cols>
  <sheetData>
    <row r="1" spans="2:17" ht="13.5" customHeight="1">
      <c r="B1" s="121" t="s">
        <v>66</v>
      </c>
      <c r="C1" s="121" t="s">
        <v>67</v>
      </c>
      <c r="D1" s="121" t="s">
        <v>68</v>
      </c>
      <c r="E1" s="121" t="s">
        <v>70</v>
      </c>
      <c r="F1" s="121" t="s">
        <v>71</v>
      </c>
    </row>
    <row r="2" spans="2:17"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17" ht="13.5" customHeight="1">
      <c r="B3" s="122"/>
      <c r="C3" s="122" t="s">
        <v>95</v>
      </c>
      <c r="D3" s="122" t="s">
        <v>95</v>
      </c>
      <c r="E3" s="122" t="str">
        <f>'EB1'!$F$27</f>
        <v>PJ</v>
      </c>
      <c r="F3" s="122"/>
      <c r="I3" s="125" t="s">
        <v>7</v>
      </c>
      <c r="J3" s="126" t="s">
        <v>30</v>
      </c>
      <c r="K3" s="125" t="s">
        <v>0</v>
      </c>
      <c r="L3" s="125" t="s">
        <v>3</v>
      </c>
      <c r="M3" s="125" t="s">
        <v>4</v>
      </c>
      <c r="N3" s="125" t="s">
        <v>8</v>
      </c>
      <c r="O3" s="125" t="s">
        <v>9</v>
      </c>
      <c r="P3" s="125" t="s">
        <v>10</v>
      </c>
      <c r="Q3" s="125" t="s">
        <v>12</v>
      </c>
    </row>
    <row r="4" spans="2:17" ht="13.5" customHeight="1" thickBot="1">
      <c r="B4" s="122"/>
      <c r="C4" s="122" t="s">
        <v>174</v>
      </c>
      <c r="D4" s="122" t="s">
        <v>160</v>
      </c>
      <c r="E4" s="122" t="str">
        <f>'EB1'!$F$27</f>
        <v>PJ</v>
      </c>
      <c r="F4" s="122"/>
      <c r="I4" s="127" t="s">
        <v>37</v>
      </c>
      <c r="J4" s="127" t="s">
        <v>31</v>
      </c>
      <c r="K4" s="127" t="s">
        <v>26</v>
      </c>
      <c r="L4" s="127" t="s">
        <v>27</v>
      </c>
      <c r="M4" s="127" t="s">
        <v>4</v>
      </c>
      <c r="N4" s="127" t="s">
        <v>40</v>
      </c>
      <c r="O4" s="127" t="s">
        <v>41</v>
      </c>
      <c r="P4" s="127" t="s">
        <v>28</v>
      </c>
      <c r="Q4" s="127" t="s">
        <v>29</v>
      </c>
    </row>
    <row r="5" spans="2:17" ht="13.5" customHeight="1">
      <c r="B5" s="122"/>
      <c r="C5" s="122" t="s">
        <v>93</v>
      </c>
      <c r="D5" s="122" t="s">
        <v>161</v>
      </c>
      <c r="E5" s="122" t="str">
        <f>'EB1'!$F$27</f>
        <v>PJ</v>
      </c>
      <c r="F5" s="122"/>
      <c r="I5" s="124" t="s">
        <v>65</v>
      </c>
      <c r="J5" s="103"/>
      <c r="K5" s="124" t="str">
        <f>C2</f>
        <v>OIL</v>
      </c>
      <c r="L5" s="124" t="s">
        <v>447</v>
      </c>
      <c r="M5" s="124" t="str">
        <f>'EB1'!$F$27</f>
        <v>PJ</v>
      </c>
      <c r="N5" s="124"/>
      <c r="O5" s="124"/>
      <c r="P5" s="124"/>
      <c r="Q5" s="124"/>
    </row>
    <row r="6" spans="2:17" ht="13.5" customHeight="1">
      <c r="B6" s="122"/>
      <c r="C6" s="122" t="s">
        <v>175</v>
      </c>
      <c r="D6" s="122" t="s">
        <v>162</v>
      </c>
      <c r="E6" s="122" t="str">
        <f>'EB1'!$F$27</f>
        <v>PJ</v>
      </c>
      <c r="F6" s="122"/>
      <c r="I6" s="124"/>
      <c r="J6" s="103"/>
      <c r="K6" s="124" t="str">
        <f>'EB1'!J32</f>
        <v>LPG</v>
      </c>
      <c r="L6" s="124" t="s">
        <v>448</v>
      </c>
      <c r="M6" s="124" t="str">
        <f>'EB1'!$F$27</f>
        <v>PJ</v>
      </c>
      <c r="N6" s="124"/>
      <c r="O6" s="124"/>
      <c r="P6" s="124"/>
      <c r="Q6" s="124"/>
    </row>
    <row r="7" spans="2:17" ht="13.5" customHeight="1">
      <c r="B7" s="122"/>
      <c r="C7" s="122" t="s">
        <v>438</v>
      </c>
      <c r="D7" s="122" t="s">
        <v>163</v>
      </c>
      <c r="E7" s="122" t="str">
        <f>'EB1'!$F$27</f>
        <v>PJ</v>
      </c>
      <c r="F7" s="122"/>
      <c r="I7" s="124"/>
      <c r="J7" s="103"/>
      <c r="K7" s="124" t="str">
        <f>'EB1'!K32</f>
        <v>PET</v>
      </c>
      <c r="L7" s="124" t="s">
        <v>449</v>
      </c>
      <c r="M7" s="124" t="str">
        <f>'EB1'!$F$27</f>
        <v>PJ</v>
      </c>
      <c r="N7" s="124"/>
      <c r="O7" s="124"/>
      <c r="P7" s="124"/>
      <c r="Q7" s="124"/>
    </row>
    <row r="8" spans="2:17" ht="13.5" customHeight="1">
      <c r="B8" s="122"/>
      <c r="C8" s="122" t="s">
        <v>177</v>
      </c>
      <c r="D8" s="122" t="s">
        <v>164</v>
      </c>
      <c r="E8" s="122" t="str">
        <f>'EB1'!$F$27</f>
        <v>PJ</v>
      </c>
      <c r="F8" s="122"/>
      <c r="I8" s="124"/>
      <c r="J8" s="103"/>
      <c r="K8" s="124" t="str">
        <f>'EB1'!L32</f>
        <v>DSL</v>
      </c>
      <c r="L8" s="124" t="s">
        <v>450</v>
      </c>
      <c r="M8" s="124" t="str">
        <f>'EB1'!$F$27</f>
        <v>PJ</v>
      </c>
      <c r="N8" s="124"/>
      <c r="O8" s="124"/>
      <c r="P8" s="124"/>
      <c r="Q8" s="124"/>
    </row>
    <row r="9" spans="2:17" ht="13.5" customHeight="1">
      <c r="I9" s="124"/>
      <c r="J9" s="103"/>
      <c r="K9" s="124" t="str">
        <f>'EB1'!M32</f>
        <v>FOL</v>
      </c>
      <c r="L9" s="124" t="s">
        <v>451</v>
      </c>
      <c r="M9" s="124" t="str">
        <f>'EB1'!$F$27</f>
        <v>PJ</v>
      </c>
      <c r="N9" s="124"/>
      <c r="O9" s="124"/>
      <c r="P9" s="124"/>
      <c r="Q9" s="124"/>
    </row>
    <row r="10" spans="2:17" ht="13.5" customHeight="1">
      <c r="I10" s="124"/>
      <c r="J10" s="103"/>
      <c r="K10" s="124" t="s">
        <v>438</v>
      </c>
      <c r="L10" s="124" t="s">
        <v>452</v>
      </c>
      <c r="M10" s="124" t="str">
        <f>'EB1'!$F$27</f>
        <v>PJ</v>
      </c>
      <c r="N10" s="124"/>
      <c r="O10" s="124"/>
      <c r="P10" s="124"/>
      <c r="Q10" s="124"/>
    </row>
    <row r="11" spans="2:17" ht="13.5" customHeight="1">
      <c r="J11" s="103"/>
      <c r="K11" s="124" t="str">
        <f>'EB1'!O32</f>
        <v>OTH</v>
      </c>
      <c r="L11" s="120" t="s">
        <v>453</v>
      </c>
      <c r="M11" s="124" t="str">
        <f>'EB1'!$F$27</f>
        <v>PJ</v>
      </c>
    </row>
    <row r="12" spans="2:17" ht="13.5" customHeight="1">
      <c r="K12" s="124"/>
    </row>
    <row r="13" spans="2:17" ht="13.5" customHeight="1">
      <c r="K13" s="124"/>
    </row>
    <row r="14" spans="2:17" ht="13.5" customHeight="1">
      <c r="D14" s="128"/>
      <c r="F14" s="128"/>
      <c r="I14" s="123" t="s">
        <v>15</v>
      </c>
      <c r="J14" s="123"/>
      <c r="K14" s="124"/>
      <c r="L14" s="124"/>
      <c r="M14" s="124"/>
      <c r="N14" s="124"/>
      <c r="O14" s="124"/>
      <c r="P14" s="124"/>
      <c r="Q14" s="124"/>
    </row>
    <row r="15" spans="2:17" ht="13.5" customHeight="1">
      <c r="B15" s="129" t="s">
        <v>1</v>
      </c>
      <c r="C15" s="130" t="s">
        <v>5</v>
      </c>
      <c r="D15" s="129" t="s">
        <v>6</v>
      </c>
      <c r="E15" s="131" t="s">
        <v>34</v>
      </c>
      <c r="F15" s="131" t="s">
        <v>35</v>
      </c>
      <c r="I15" s="125" t="s">
        <v>11</v>
      </c>
      <c r="J15" s="126" t="s">
        <v>30</v>
      </c>
      <c r="K15" s="125" t="s">
        <v>1</v>
      </c>
      <c r="L15" s="125" t="s">
        <v>2</v>
      </c>
      <c r="M15" s="125" t="s">
        <v>16</v>
      </c>
      <c r="N15" s="125" t="s">
        <v>17</v>
      </c>
      <c r="O15" s="125" t="s">
        <v>18</v>
      </c>
      <c r="P15" s="125" t="s">
        <v>19</v>
      </c>
      <c r="Q15" s="125" t="s">
        <v>20</v>
      </c>
    </row>
    <row r="16" spans="2:17" ht="21.75" customHeight="1" thickBot="1">
      <c r="B16" s="132" t="s">
        <v>39</v>
      </c>
      <c r="C16" s="132" t="s">
        <v>32</v>
      </c>
      <c r="D16" s="132" t="s">
        <v>33</v>
      </c>
      <c r="E16" s="132" t="s">
        <v>36</v>
      </c>
      <c r="F16" s="132" t="s">
        <v>79</v>
      </c>
      <c r="I16" s="127" t="s">
        <v>38</v>
      </c>
      <c r="J16" s="127" t="s">
        <v>31</v>
      </c>
      <c r="K16" s="127" t="s">
        <v>21</v>
      </c>
      <c r="L16" s="127" t="s">
        <v>22</v>
      </c>
      <c r="M16" s="127" t="s">
        <v>23</v>
      </c>
      <c r="N16" s="127" t="s">
        <v>24</v>
      </c>
      <c r="O16" s="127" t="s">
        <v>43</v>
      </c>
      <c r="P16" s="127" t="s">
        <v>42</v>
      </c>
      <c r="Q16" s="127" t="s">
        <v>25</v>
      </c>
    </row>
    <row r="17" spans="2:17" ht="13.5" customHeight="1" thickBot="1">
      <c r="B17" s="132" t="s">
        <v>77</v>
      </c>
      <c r="C17" s="132"/>
      <c r="D17" s="132"/>
      <c r="E17" s="132" t="str">
        <f>$E$2</f>
        <v>PJ</v>
      </c>
      <c r="F17" s="132" t="str">
        <f>$F$2&amp;"/"&amp;$E$2</f>
        <v>Milion NZD (2015)/PJ</v>
      </c>
      <c r="I17" s="127" t="s">
        <v>73</v>
      </c>
      <c r="J17" s="127"/>
      <c r="K17" s="127"/>
      <c r="L17" s="127"/>
      <c r="M17" s="127"/>
      <c r="N17" s="127"/>
      <c r="O17" s="127"/>
      <c r="P17" s="127"/>
      <c r="Q17" s="127"/>
    </row>
    <row r="18" spans="2:17" ht="13.5" customHeight="1">
      <c r="B18" s="120" t="str">
        <f t="shared" ref="B18:B25" si="0">K18</f>
        <v>MINOIL1</v>
      </c>
      <c r="D18" s="124" t="str">
        <f t="shared" ref="D18:D24" si="1">$K5</f>
        <v>OIL</v>
      </c>
      <c r="E18" s="133"/>
      <c r="F18" s="134">
        <v>10</v>
      </c>
      <c r="I18" s="124" t="str">
        <f>'EB1'!$B$5</f>
        <v>MIN</v>
      </c>
      <c r="J18" s="103"/>
      <c r="K18" s="124" t="str">
        <f t="shared" ref="K18:K24" si="2">$I$18&amp;$C2&amp;1</f>
        <v>MINOIL1</v>
      </c>
      <c r="L18" s="124"/>
      <c r="M18" s="124" t="str">
        <f>$E$2</f>
        <v>PJ</v>
      </c>
      <c r="N18" s="124" t="str">
        <f>$E$2&amp;"a"</f>
        <v>PJa</v>
      </c>
      <c r="O18" s="124"/>
      <c r="P18" s="124"/>
      <c r="Q18" s="124"/>
    </row>
    <row r="19" spans="2:17" ht="13.5" customHeight="1">
      <c r="B19" s="120" t="str">
        <f t="shared" si="0"/>
        <v>MINLPG1</v>
      </c>
      <c r="D19" s="124" t="str">
        <f t="shared" si="1"/>
        <v>LPG</v>
      </c>
      <c r="E19" s="133"/>
      <c r="F19" s="134">
        <v>20</v>
      </c>
      <c r="I19" s="124"/>
      <c r="J19" s="103"/>
      <c r="K19" s="124" t="str">
        <f t="shared" si="2"/>
        <v>MINLPG1</v>
      </c>
      <c r="L19" s="124"/>
      <c r="M19" s="124" t="str">
        <f t="shared" ref="M19:M24" si="3">$E$2</f>
        <v>PJ</v>
      </c>
      <c r="N19" s="124" t="str">
        <f t="shared" ref="N19:N24" si="4">$E$2&amp;"a"</f>
        <v>PJa</v>
      </c>
      <c r="O19" s="124"/>
      <c r="P19" s="124"/>
      <c r="Q19" s="124"/>
    </row>
    <row r="20" spans="2:17" ht="13.5" customHeight="1">
      <c r="B20" s="120" t="str">
        <f t="shared" si="0"/>
        <v>MINPET1</v>
      </c>
      <c r="D20" s="124" t="str">
        <f t="shared" si="1"/>
        <v>PET</v>
      </c>
      <c r="E20" s="133"/>
      <c r="F20" s="134">
        <v>20</v>
      </c>
      <c r="I20" s="124"/>
      <c r="J20" s="103"/>
      <c r="K20" s="124" t="str">
        <f t="shared" si="2"/>
        <v>MINPET1</v>
      </c>
      <c r="L20" s="124"/>
      <c r="M20" s="124" t="str">
        <f t="shared" si="3"/>
        <v>PJ</v>
      </c>
      <c r="N20" s="124" t="str">
        <f t="shared" si="4"/>
        <v>PJa</v>
      </c>
      <c r="O20" s="124"/>
      <c r="P20" s="124"/>
      <c r="Q20" s="124"/>
    </row>
    <row r="21" spans="2:17" ht="13.5" customHeight="1">
      <c r="B21" s="120" t="str">
        <f t="shared" si="0"/>
        <v>MINDSL1</v>
      </c>
      <c r="D21" s="124" t="str">
        <f t="shared" si="1"/>
        <v>DSL</v>
      </c>
      <c r="E21" s="133"/>
      <c r="F21" s="134">
        <v>20</v>
      </c>
      <c r="I21" s="124"/>
      <c r="J21" s="103"/>
      <c r="K21" s="124" t="str">
        <f t="shared" si="2"/>
        <v>MINDSL1</v>
      </c>
      <c r="L21" s="124"/>
      <c r="M21" s="124" t="str">
        <f t="shared" si="3"/>
        <v>PJ</v>
      </c>
      <c r="N21" s="124" t="str">
        <f t="shared" si="4"/>
        <v>PJa</v>
      </c>
      <c r="O21" s="124"/>
      <c r="P21" s="124"/>
      <c r="Q21" s="124"/>
    </row>
    <row r="22" spans="2:17" ht="13.5" customHeight="1">
      <c r="B22" s="120" t="str">
        <f t="shared" si="0"/>
        <v>MINFOL1</v>
      </c>
      <c r="D22" s="124" t="str">
        <f t="shared" si="1"/>
        <v>FOL</v>
      </c>
      <c r="E22" s="133"/>
      <c r="F22" s="134">
        <v>20</v>
      </c>
      <c r="I22" s="124"/>
      <c r="J22" s="103"/>
      <c r="K22" s="124" t="str">
        <f t="shared" si="2"/>
        <v>MINFOL1</v>
      </c>
      <c r="L22" s="124"/>
      <c r="M22" s="124" t="str">
        <f t="shared" si="3"/>
        <v>PJ</v>
      </c>
      <c r="N22" s="124" t="str">
        <f t="shared" si="4"/>
        <v>PJa</v>
      </c>
      <c r="O22" s="124"/>
      <c r="P22" s="124"/>
      <c r="Q22" s="124"/>
    </row>
    <row r="23" spans="2:17" ht="13.5" customHeight="1">
      <c r="B23" s="120" t="str">
        <f t="shared" si="0"/>
        <v>MINJET1</v>
      </c>
      <c r="D23" s="124" t="str">
        <f t="shared" si="1"/>
        <v>JET</v>
      </c>
      <c r="E23" s="133"/>
      <c r="F23" s="134">
        <v>20</v>
      </c>
      <c r="I23" s="124"/>
      <c r="J23" s="103"/>
      <c r="K23" s="124" t="str">
        <f t="shared" si="2"/>
        <v>MINJET1</v>
      </c>
      <c r="L23" s="124"/>
      <c r="M23" s="124" t="str">
        <f t="shared" si="3"/>
        <v>PJ</v>
      </c>
      <c r="N23" s="124" t="str">
        <f t="shared" si="4"/>
        <v>PJa</v>
      </c>
      <c r="O23" s="124"/>
      <c r="P23" s="124"/>
      <c r="Q23" s="124"/>
    </row>
    <row r="24" spans="2:17" ht="13.5" customHeight="1">
      <c r="B24" s="120" t="str">
        <f t="shared" si="0"/>
        <v>MINOTH1</v>
      </c>
      <c r="D24" s="124" t="str">
        <f t="shared" si="1"/>
        <v>OTH</v>
      </c>
      <c r="E24" s="133"/>
      <c r="F24" s="134">
        <v>20</v>
      </c>
      <c r="I24" s="124"/>
      <c r="J24" s="103"/>
      <c r="K24" s="124" t="str">
        <f t="shared" si="2"/>
        <v>MINOTH1</v>
      </c>
      <c r="L24" s="124"/>
      <c r="M24" s="124" t="str">
        <f t="shared" si="3"/>
        <v>PJ</v>
      </c>
      <c r="N24" s="124" t="str">
        <f t="shared" si="4"/>
        <v>PJa</v>
      </c>
      <c r="O24" s="124"/>
      <c r="P24" s="124"/>
      <c r="Q24" s="124"/>
    </row>
    <row r="25" spans="2:17" ht="13.5" customHeight="1">
      <c r="B25" s="120" t="str">
        <f t="shared" si="0"/>
        <v>IMPOIL1</v>
      </c>
      <c r="D25" s="124" t="str">
        <f t="shared" ref="D25:D31" si="5">$K5</f>
        <v>OIL</v>
      </c>
      <c r="E25" s="133"/>
      <c r="F25" s="134">
        <v>15</v>
      </c>
      <c r="I25" s="124" t="str">
        <f>'EB1'!$B$6</f>
        <v>IMP</v>
      </c>
      <c r="J25" s="103"/>
      <c r="K25" s="124" t="str">
        <f t="shared" ref="K25:K31" si="6">$I$25&amp;$C2&amp;1</f>
        <v>IMPOIL1</v>
      </c>
      <c r="L25" s="124"/>
      <c r="M25" s="124" t="str">
        <f>$E$2</f>
        <v>PJ</v>
      </c>
      <c r="N25" s="124" t="str">
        <f>$E$2&amp;"a"</f>
        <v>PJa</v>
      </c>
      <c r="O25" s="124"/>
      <c r="P25" s="124"/>
      <c r="Q25" s="124"/>
    </row>
    <row r="26" spans="2:17" ht="13.5" customHeight="1">
      <c r="B26" s="120" t="str">
        <f t="shared" ref="B26:B31" si="7">K26</f>
        <v>IMPLPG1</v>
      </c>
      <c r="D26" s="124" t="str">
        <f t="shared" si="5"/>
        <v>LPG</v>
      </c>
      <c r="E26" s="133"/>
      <c r="F26" s="134">
        <v>30</v>
      </c>
      <c r="I26" s="124"/>
      <c r="J26" s="103"/>
      <c r="K26" s="124" t="str">
        <f t="shared" si="6"/>
        <v>IMPLPG1</v>
      </c>
      <c r="L26" s="124"/>
      <c r="M26" s="124" t="str">
        <f>$E$2</f>
        <v>PJ</v>
      </c>
      <c r="N26" s="124" t="str">
        <f>$E$2&amp;"a"</f>
        <v>PJa</v>
      </c>
      <c r="O26" s="124"/>
      <c r="P26" s="124"/>
      <c r="Q26" s="124"/>
    </row>
    <row r="27" spans="2:17" ht="13.5" customHeight="1">
      <c r="B27" s="120" t="str">
        <f t="shared" si="7"/>
        <v>IMPPET1</v>
      </c>
      <c r="D27" s="124" t="str">
        <f t="shared" si="5"/>
        <v>PET</v>
      </c>
      <c r="E27" s="133"/>
      <c r="F27" s="134">
        <v>30</v>
      </c>
      <c r="I27" s="124"/>
      <c r="J27" s="103"/>
      <c r="K27" s="124" t="str">
        <f t="shared" si="6"/>
        <v>IMPPET1</v>
      </c>
      <c r="L27" s="124"/>
      <c r="M27" s="124" t="str">
        <f t="shared" ref="M27:M31" si="8">$E$2</f>
        <v>PJ</v>
      </c>
      <c r="N27" s="124" t="str">
        <f t="shared" ref="N27:N31" si="9">$E$2&amp;"a"</f>
        <v>PJa</v>
      </c>
      <c r="O27" s="124"/>
      <c r="P27" s="124"/>
      <c r="Q27" s="124"/>
    </row>
    <row r="28" spans="2:17" ht="13.5" customHeight="1">
      <c r="B28" s="120" t="str">
        <f t="shared" si="7"/>
        <v>IMPDSL1</v>
      </c>
      <c r="D28" s="124" t="str">
        <f t="shared" si="5"/>
        <v>DSL</v>
      </c>
      <c r="E28" s="133"/>
      <c r="F28" s="134">
        <v>30</v>
      </c>
      <c r="I28" s="124"/>
      <c r="J28" s="103"/>
      <c r="K28" s="124" t="str">
        <f t="shared" si="6"/>
        <v>IMPDSL1</v>
      </c>
      <c r="L28" s="124"/>
      <c r="M28" s="124" t="str">
        <f t="shared" si="8"/>
        <v>PJ</v>
      </c>
      <c r="N28" s="124" t="str">
        <f t="shared" si="9"/>
        <v>PJa</v>
      </c>
      <c r="O28" s="124"/>
      <c r="P28" s="124"/>
      <c r="Q28" s="124"/>
    </row>
    <row r="29" spans="2:17" ht="13.5" customHeight="1">
      <c r="B29" s="120" t="str">
        <f t="shared" si="7"/>
        <v>IMPFOL1</v>
      </c>
      <c r="D29" s="124" t="str">
        <f t="shared" si="5"/>
        <v>FOL</v>
      </c>
      <c r="E29" s="133"/>
      <c r="F29" s="134">
        <v>30</v>
      </c>
      <c r="I29" s="124"/>
      <c r="J29" s="103"/>
      <c r="K29" s="124" t="str">
        <f t="shared" si="6"/>
        <v>IMPFOL1</v>
      </c>
      <c r="L29" s="124"/>
      <c r="M29" s="124" t="str">
        <f t="shared" si="8"/>
        <v>PJ</v>
      </c>
      <c r="N29" s="124" t="str">
        <f t="shared" si="9"/>
        <v>PJa</v>
      </c>
      <c r="O29" s="124"/>
      <c r="P29" s="124"/>
    </row>
    <row r="30" spans="2:17" ht="13.5" customHeight="1">
      <c r="B30" s="120" t="str">
        <f t="shared" si="7"/>
        <v>IMPJET1</v>
      </c>
      <c r="D30" s="124" t="str">
        <f t="shared" si="5"/>
        <v>JET</v>
      </c>
      <c r="E30" s="133"/>
      <c r="F30" s="134">
        <v>30</v>
      </c>
      <c r="I30" s="124"/>
      <c r="J30" s="103"/>
      <c r="K30" s="124" t="str">
        <f t="shared" si="6"/>
        <v>IMPJET1</v>
      </c>
      <c r="L30" s="124"/>
      <c r="M30" s="124" t="str">
        <f t="shared" si="8"/>
        <v>PJ</v>
      </c>
      <c r="N30" s="124" t="str">
        <f t="shared" si="9"/>
        <v>PJa</v>
      </c>
      <c r="O30" s="124"/>
      <c r="P30" s="124"/>
    </row>
    <row r="31" spans="2:17" ht="13.5" customHeight="1">
      <c r="B31" s="120" t="str">
        <f t="shared" si="7"/>
        <v>IMPOTH1</v>
      </c>
      <c r="D31" s="124" t="str">
        <f t="shared" si="5"/>
        <v>OTH</v>
      </c>
      <c r="E31" s="133"/>
      <c r="F31" s="134">
        <v>30</v>
      </c>
      <c r="I31" s="124"/>
      <c r="J31" s="103"/>
      <c r="K31" s="124" t="str">
        <f t="shared" si="6"/>
        <v>IMPOTH1</v>
      </c>
      <c r="L31" s="124"/>
      <c r="M31" s="124" t="str">
        <f t="shared" si="8"/>
        <v>PJ</v>
      </c>
      <c r="N31" s="124" t="str">
        <f t="shared" si="9"/>
        <v>PJa</v>
      </c>
      <c r="O31" s="124"/>
      <c r="P31" s="124"/>
    </row>
    <row r="32" spans="2:17" ht="13.5" customHeight="1">
      <c r="B32" s="120" t="str">
        <f>K32</f>
        <v>EXPOIL1</v>
      </c>
      <c r="C32" s="124" t="str">
        <f t="shared" ref="C32:C38" si="10">$K5</f>
        <v>OIL</v>
      </c>
      <c r="E32" s="133"/>
      <c r="F32" s="134">
        <v>15</v>
      </c>
      <c r="I32" s="124" t="str">
        <f>'EB1'!B7</f>
        <v>EXP</v>
      </c>
      <c r="J32" s="103"/>
      <c r="K32" s="124" t="str">
        <f t="shared" ref="K32:K38" si="11">$I$32&amp;$C2&amp;1</f>
        <v>EXPOIL1</v>
      </c>
      <c r="L32" s="124"/>
      <c r="M32" s="124" t="str">
        <f>$E$2</f>
        <v>PJ</v>
      </c>
      <c r="N32" s="124" t="str">
        <f>$E$2&amp;"a"</f>
        <v>PJa</v>
      </c>
      <c r="O32" s="124"/>
      <c r="P32" s="124"/>
    </row>
    <row r="33" spans="2:22" ht="13.5" customHeight="1">
      <c r="B33" s="120" t="str">
        <f t="shared" ref="B33:B38" si="12">K33</f>
        <v>EXPLPG1</v>
      </c>
      <c r="C33" s="124" t="str">
        <f t="shared" si="10"/>
        <v>LPG</v>
      </c>
      <c r="E33" s="133"/>
      <c r="F33" s="134">
        <v>30</v>
      </c>
      <c r="J33" s="103"/>
      <c r="K33" s="124" t="str">
        <f t="shared" si="11"/>
        <v>EXPLPG1</v>
      </c>
      <c r="L33" s="124"/>
      <c r="M33" s="124" t="str">
        <f t="shared" ref="M33:M38" si="13">$E$2</f>
        <v>PJ</v>
      </c>
      <c r="N33" s="124" t="str">
        <f t="shared" ref="N33:N38" si="14">$E$2&amp;"a"</f>
        <v>PJa</v>
      </c>
    </row>
    <row r="34" spans="2:22" ht="13.5" customHeight="1">
      <c r="B34" s="120" t="str">
        <f t="shared" si="12"/>
        <v>EXPPET1</v>
      </c>
      <c r="C34" s="124" t="str">
        <f t="shared" si="10"/>
        <v>PET</v>
      </c>
      <c r="E34" s="133"/>
      <c r="F34" s="134">
        <v>30</v>
      </c>
      <c r="J34" s="103"/>
      <c r="K34" s="124" t="str">
        <f t="shared" si="11"/>
        <v>EXPPET1</v>
      </c>
      <c r="L34" s="124"/>
      <c r="M34" s="124" t="str">
        <f t="shared" si="13"/>
        <v>PJ</v>
      </c>
      <c r="N34" s="124" t="str">
        <f t="shared" si="14"/>
        <v>PJa</v>
      </c>
    </row>
    <row r="35" spans="2:22" ht="13.5" customHeight="1">
      <c r="B35" s="120" t="str">
        <f t="shared" si="12"/>
        <v>EXPDSL1</v>
      </c>
      <c r="C35" s="124" t="str">
        <f t="shared" si="10"/>
        <v>DSL</v>
      </c>
      <c r="E35" s="133"/>
      <c r="F35" s="134">
        <v>30</v>
      </c>
      <c r="J35" s="103"/>
      <c r="K35" s="124" t="str">
        <f t="shared" si="11"/>
        <v>EXPDSL1</v>
      </c>
      <c r="L35" s="124"/>
      <c r="M35" s="124" t="str">
        <f t="shared" si="13"/>
        <v>PJ</v>
      </c>
      <c r="N35" s="124" t="str">
        <f t="shared" si="14"/>
        <v>PJa</v>
      </c>
    </row>
    <row r="36" spans="2:22" ht="13.5" customHeight="1">
      <c r="B36" s="120" t="str">
        <f t="shared" si="12"/>
        <v>EXPFOL1</v>
      </c>
      <c r="C36" s="124" t="str">
        <f t="shared" si="10"/>
        <v>FOL</v>
      </c>
      <c r="E36" s="133"/>
      <c r="F36" s="134">
        <v>30</v>
      </c>
      <c r="J36" s="103"/>
      <c r="K36" s="124" t="str">
        <f t="shared" si="11"/>
        <v>EXPFOL1</v>
      </c>
      <c r="L36" s="124"/>
      <c r="M36" s="124" t="str">
        <f t="shared" si="13"/>
        <v>PJ</v>
      </c>
      <c r="N36" s="124" t="str">
        <f t="shared" si="14"/>
        <v>PJa</v>
      </c>
    </row>
    <row r="37" spans="2:22" ht="13.5" customHeight="1">
      <c r="B37" s="120" t="str">
        <f t="shared" si="12"/>
        <v>EXPJET1</v>
      </c>
      <c r="C37" s="124" t="str">
        <f t="shared" si="10"/>
        <v>JET</v>
      </c>
      <c r="E37" s="133"/>
      <c r="F37" s="134">
        <v>30</v>
      </c>
      <c r="J37" s="103"/>
      <c r="K37" s="124" t="str">
        <f t="shared" si="11"/>
        <v>EXPJET1</v>
      </c>
      <c r="L37" s="124"/>
      <c r="M37" s="124" t="str">
        <f t="shared" si="13"/>
        <v>PJ</v>
      </c>
      <c r="N37" s="124" t="str">
        <f t="shared" si="14"/>
        <v>PJa</v>
      </c>
    </row>
    <row r="38" spans="2:22" ht="13.5" customHeight="1">
      <c r="B38" s="120" t="str">
        <f t="shared" si="12"/>
        <v>EXPOTH1</v>
      </c>
      <c r="C38" s="124" t="str">
        <f t="shared" si="10"/>
        <v>OTH</v>
      </c>
      <c r="E38" s="133"/>
      <c r="F38" s="134">
        <v>30</v>
      </c>
      <c r="J38" s="103"/>
      <c r="K38" s="124" t="str">
        <f t="shared" si="11"/>
        <v>EXPOTH1</v>
      </c>
      <c r="L38" s="124"/>
      <c r="M38" s="124" t="str">
        <f t="shared" si="13"/>
        <v>PJ</v>
      </c>
      <c r="N38" s="124" t="str">
        <f t="shared" si="14"/>
        <v>PJa</v>
      </c>
    </row>
    <row r="39" spans="2:22" ht="13.5" customHeight="1">
      <c r="K39" s="124"/>
    </row>
    <row r="41" spans="2:22" ht="13.5" customHeight="1">
      <c r="I41" s="320"/>
      <c r="J41" s="320"/>
      <c r="K41" s="324" t="s">
        <v>13</v>
      </c>
      <c r="L41" s="320"/>
      <c r="M41" s="324"/>
      <c r="N41" s="320"/>
      <c r="O41" s="320"/>
      <c r="P41" s="320"/>
      <c r="Q41" s="320"/>
      <c r="R41" s="320"/>
      <c r="S41" s="320"/>
      <c r="T41" s="320"/>
    </row>
    <row r="42" spans="2:22" ht="13.5" customHeight="1">
      <c r="I42" s="325" t="s">
        <v>1</v>
      </c>
      <c r="J42" s="326" t="s">
        <v>5</v>
      </c>
      <c r="K42" s="325" t="s">
        <v>6</v>
      </c>
      <c r="L42" s="327" t="s">
        <v>34</v>
      </c>
      <c r="M42" s="327" t="s">
        <v>35</v>
      </c>
      <c r="N42" s="321" t="s">
        <v>475</v>
      </c>
      <c r="O42" s="321" t="s">
        <v>349</v>
      </c>
      <c r="P42" s="321" t="s">
        <v>350</v>
      </c>
      <c r="Q42" s="321" t="s">
        <v>351</v>
      </c>
      <c r="R42" s="321" t="s">
        <v>352</v>
      </c>
      <c r="S42" s="321" t="s">
        <v>353</v>
      </c>
      <c r="T42" s="321" t="s">
        <v>354</v>
      </c>
      <c r="U42" s="131" t="s">
        <v>72</v>
      </c>
      <c r="V42" s="131" t="s">
        <v>446</v>
      </c>
    </row>
    <row r="43" spans="2:22" ht="13.5" customHeight="1" thickBot="1">
      <c r="I43" s="328" t="s">
        <v>39</v>
      </c>
      <c r="J43" s="328" t="s">
        <v>32</v>
      </c>
      <c r="K43" s="328" t="s">
        <v>33</v>
      </c>
      <c r="L43" s="328" t="s">
        <v>36</v>
      </c>
      <c r="M43" s="328" t="s">
        <v>79</v>
      </c>
      <c r="N43" s="328" t="s">
        <v>79</v>
      </c>
      <c r="O43" s="328" t="s">
        <v>79</v>
      </c>
      <c r="P43" s="328" t="s">
        <v>79</v>
      </c>
      <c r="Q43" s="328" t="s">
        <v>79</v>
      </c>
      <c r="R43" s="328" t="s">
        <v>79</v>
      </c>
      <c r="S43" s="328" t="s">
        <v>79</v>
      </c>
      <c r="T43" s="328" t="s">
        <v>79</v>
      </c>
      <c r="U43" s="132" t="s">
        <v>78</v>
      </c>
      <c r="V43" s="132" t="s">
        <v>78</v>
      </c>
    </row>
    <row r="44" spans="2:22" ht="13.5" customHeight="1" thickBot="1">
      <c r="I44" s="328" t="s">
        <v>77</v>
      </c>
      <c r="J44" s="328"/>
      <c r="K44" s="328"/>
      <c r="L44" s="328" t="s">
        <v>69</v>
      </c>
      <c r="M44" s="328" t="s">
        <v>355</v>
      </c>
      <c r="N44" s="328" t="s">
        <v>355</v>
      </c>
      <c r="O44" s="328" t="s">
        <v>355</v>
      </c>
      <c r="P44" s="328" t="s">
        <v>355</v>
      </c>
      <c r="Q44" s="328" t="s">
        <v>355</v>
      </c>
      <c r="R44" s="328" t="s">
        <v>355</v>
      </c>
      <c r="S44" s="328" t="s">
        <v>355</v>
      </c>
      <c r="T44" s="328" t="s">
        <v>355</v>
      </c>
      <c r="U44" s="132" t="str">
        <f>$E$2</f>
        <v>PJ</v>
      </c>
      <c r="V44" s="132" t="str">
        <f>$E$2</f>
        <v>PJ</v>
      </c>
    </row>
    <row r="45" spans="2:22" ht="13.5" customHeight="1">
      <c r="I45" s="322" t="s">
        <v>359</v>
      </c>
      <c r="J45" s="322"/>
      <c r="K45" s="323" t="s">
        <v>46</v>
      </c>
      <c r="L45" s="329"/>
      <c r="M45" s="330">
        <v>10</v>
      </c>
      <c r="N45" s="331">
        <v>16.348745251702226</v>
      </c>
      <c r="O45" s="331">
        <v>19.822220085163373</v>
      </c>
      <c r="P45" s="331">
        <v>23.293701904317746</v>
      </c>
      <c r="Q45" s="331">
        <v>24.711615654691542</v>
      </c>
      <c r="R45" s="331">
        <v>26.124172030015377</v>
      </c>
      <c r="S45" s="331">
        <v>29.282835135542186</v>
      </c>
      <c r="T45" s="331">
        <v>29.429608600568837</v>
      </c>
      <c r="U45" s="294">
        <v>0</v>
      </c>
    </row>
    <row r="46" spans="2:22" ht="13.5" customHeight="1">
      <c r="I46" s="322" t="s">
        <v>360</v>
      </c>
      <c r="J46" s="322"/>
      <c r="K46" s="323" t="s">
        <v>95</v>
      </c>
      <c r="L46" s="329"/>
      <c r="M46" s="330">
        <v>20</v>
      </c>
      <c r="N46" s="331">
        <v>32.697490503404453</v>
      </c>
      <c r="O46" s="331">
        <v>39.644440170326746</v>
      </c>
      <c r="P46" s="331">
        <v>46.587403808635493</v>
      </c>
      <c r="Q46" s="331">
        <v>49.423231309383084</v>
      </c>
      <c r="R46" s="331">
        <v>52.248344060030753</v>
      </c>
      <c r="S46" s="331">
        <v>58.565670271084372</v>
      </c>
      <c r="T46" s="331">
        <v>58.859217201137675</v>
      </c>
      <c r="U46" s="294">
        <v>0</v>
      </c>
    </row>
    <row r="47" spans="2:22" ht="13.5" customHeight="1">
      <c r="I47" s="322" t="s">
        <v>361</v>
      </c>
      <c r="J47" s="322"/>
      <c r="K47" s="323" t="s">
        <v>174</v>
      </c>
      <c r="L47" s="329"/>
      <c r="M47" s="330">
        <v>20</v>
      </c>
      <c r="N47" s="331">
        <v>32.697490503404453</v>
      </c>
      <c r="O47" s="331">
        <v>39.644440170326746</v>
      </c>
      <c r="P47" s="331">
        <v>46.587403808635493</v>
      </c>
      <c r="Q47" s="331">
        <v>49.423231309383084</v>
      </c>
      <c r="R47" s="331">
        <v>52.248344060030753</v>
      </c>
      <c r="S47" s="331">
        <v>58.565670271084372</v>
      </c>
      <c r="T47" s="331">
        <v>58.859217201137675</v>
      </c>
      <c r="U47" s="294">
        <v>0</v>
      </c>
    </row>
    <row r="48" spans="2:22" ht="13.5" customHeight="1">
      <c r="I48" s="322" t="s">
        <v>362</v>
      </c>
      <c r="J48" s="322"/>
      <c r="K48" s="323" t="s">
        <v>93</v>
      </c>
      <c r="L48" s="329"/>
      <c r="M48" s="330">
        <v>20</v>
      </c>
      <c r="N48" s="331">
        <v>32.697490503404453</v>
      </c>
      <c r="O48" s="331">
        <v>39.644440170326746</v>
      </c>
      <c r="P48" s="331">
        <v>46.587403808635493</v>
      </c>
      <c r="Q48" s="331">
        <v>49.423231309383084</v>
      </c>
      <c r="R48" s="331">
        <v>52.248344060030753</v>
      </c>
      <c r="S48" s="331">
        <v>58.565670271084372</v>
      </c>
      <c r="T48" s="331">
        <v>58.859217201137675</v>
      </c>
      <c r="U48" s="294">
        <v>0</v>
      </c>
    </row>
    <row r="49" spans="9:22" ht="13.5" customHeight="1">
      <c r="I49" s="322" t="s">
        <v>363</v>
      </c>
      <c r="J49" s="322"/>
      <c r="K49" s="323" t="s">
        <v>175</v>
      </c>
      <c r="L49" s="329"/>
      <c r="M49" s="330">
        <v>20</v>
      </c>
      <c r="N49" s="331">
        <v>32.697490503404453</v>
      </c>
      <c r="O49" s="331">
        <v>39.644440170326746</v>
      </c>
      <c r="P49" s="331">
        <v>46.587403808635493</v>
      </c>
      <c r="Q49" s="331">
        <v>49.423231309383084</v>
      </c>
      <c r="R49" s="331">
        <v>52.248344060030753</v>
      </c>
      <c r="S49" s="331">
        <v>58.565670271084372</v>
      </c>
      <c r="T49" s="331">
        <v>58.859217201137675</v>
      </c>
      <c r="U49" s="294">
        <v>0</v>
      </c>
    </row>
    <row r="50" spans="9:22" ht="13.5" customHeight="1">
      <c r="I50" s="323" t="str">
        <f>K23</f>
        <v>MINJET1</v>
      </c>
      <c r="J50" s="322"/>
      <c r="K50" s="323" t="s">
        <v>438</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364</v>
      </c>
      <c r="J51" s="322"/>
      <c r="K51" s="323" t="s">
        <v>177</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365</v>
      </c>
      <c r="J52" s="322"/>
      <c r="K52" s="323" t="s">
        <v>46</v>
      </c>
      <c r="L52" s="329"/>
      <c r="M52" s="332">
        <v>12.020931136891397</v>
      </c>
      <c r="N52" s="332">
        <v>19.652714084529268</v>
      </c>
      <c r="O52" s="332">
        <v>23.828154262405445</v>
      </c>
      <c r="P52" s="332">
        <v>28.001198651507963</v>
      </c>
      <c r="Q52" s="332">
        <v>29.705663006637444</v>
      </c>
      <c r="R52" s="332">
        <v>31.403687298111919</v>
      </c>
      <c r="S52" s="332">
        <v>35.200694465729647</v>
      </c>
      <c r="T52" s="332">
        <v>35.377129837310477</v>
      </c>
      <c r="U52" s="294">
        <v>0</v>
      </c>
    </row>
    <row r="53" spans="9:22" ht="13.5" customHeight="1">
      <c r="I53" s="322" t="s">
        <v>366</v>
      </c>
      <c r="J53" s="322"/>
      <c r="K53" s="323" t="s">
        <v>95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2" t="s">
        <v>367</v>
      </c>
      <c r="J54" s="322"/>
      <c r="K54" s="323" t="s">
        <v>174</v>
      </c>
      <c r="L54" s="329"/>
      <c r="M54" s="332">
        <v>15.379896112536088</v>
      </c>
      <c r="N54" s="332">
        <v>22.610406006450212</v>
      </c>
      <c r="O54" s="332">
        <v>27.086499480111446</v>
      </c>
      <c r="P54" s="332">
        <v>31.528570146988582</v>
      </c>
      <c r="Q54" s="332">
        <v>33.331117808674499</v>
      </c>
      <c r="R54" s="332">
        <v>35.122844295680309</v>
      </c>
      <c r="S54" s="332">
        <v>39.111232994112385</v>
      </c>
      <c r="T54" s="332">
        <v>39.307269039168794</v>
      </c>
      <c r="U54" s="294">
        <v>0</v>
      </c>
    </row>
    <row r="55" spans="9:22" ht="13.5" customHeight="1">
      <c r="I55" s="322" t="s">
        <v>368</v>
      </c>
      <c r="J55" s="322"/>
      <c r="K55" s="323" t="s">
        <v>93</v>
      </c>
      <c r="L55" s="329"/>
      <c r="M55" s="332">
        <v>15.025143119060132</v>
      </c>
      <c r="N55" s="332">
        <v>22.713970200542803</v>
      </c>
      <c r="O55" s="332">
        <v>27.406085815800225</v>
      </c>
      <c r="P55" s="332">
        <v>32.056139536342094</v>
      </c>
      <c r="Q55" s="332">
        <v>33.945606109417035</v>
      </c>
      <c r="R55" s="332">
        <v>35.822776887620591</v>
      </c>
      <c r="S55" s="332">
        <v>40.003199329922424</v>
      </c>
      <c r="T55" s="332">
        <v>40.203706150748594</v>
      </c>
      <c r="U55" s="294">
        <v>0</v>
      </c>
    </row>
    <row r="56" spans="9:22" ht="13.5" customHeight="1">
      <c r="I56" s="322" t="s">
        <v>369</v>
      </c>
      <c r="J56" s="322"/>
      <c r="K56" s="323" t="s">
        <v>175</v>
      </c>
      <c r="L56" s="329"/>
      <c r="M56" s="332">
        <v>13.522628807154121</v>
      </c>
      <c r="N56" s="332">
        <v>20.442573180488523</v>
      </c>
      <c r="O56" s="332">
        <v>24.665477234220202</v>
      </c>
      <c r="P56" s="332">
        <v>28.850525582707881</v>
      </c>
      <c r="Q56" s="332">
        <v>30.551045498475332</v>
      </c>
      <c r="R56" s="332">
        <v>32.240499198858529</v>
      </c>
      <c r="S56" s="332">
        <v>36.002879396930183</v>
      </c>
      <c r="T56" s="332">
        <v>36.183335535673741</v>
      </c>
      <c r="U56" s="294">
        <v>0</v>
      </c>
    </row>
    <row r="57" spans="9:22" ht="13.5" customHeight="1">
      <c r="I57" s="323" t="str">
        <f>K30</f>
        <v>IMPJET1</v>
      </c>
      <c r="J57" s="322"/>
      <c r="K57" s="323" t="s">
        <v>438</v>
      </c>
      <c r="L57" s="329"/>
      <c r="M57" s="332">
        <v>16.527657430966148</v>
      </c>
      <c r="N57" s="332">
        <v>24.985367220597084</v>
      </c>
      <c r="O57" s="332">
        <v>30.146694397380251</v>
      </c>
      <c r="P57" s="332">
        <v>35.2617534899763</v>
      </c>
      <c r="Q57" s="332">
        <v>37.340166720358745</v>
      </c>
      <c r="R57" s="332">
        <v>39.405054576382653</v>
      </c>
      <c r="S57" s="332">
        <v>44.003519262914672</v>
      </c>
      <c r="T57" s="332">
        <v>44.224076765823455</v>
      </c>
      <c r="U57" s="294">
        <v>0</v>
      </c>
      <c r="V57" s="120">
        <v>60</v>
      </c>
    </row>
    <row r="58" spans="9:22" ht="13.5" customHeight="1">
      <c r="I58" s="322" t="s">
        <v>370</v>
      </c>
      <c r="J58" s="322"/>
      <c r="K58" s="323" t="s">
        <v>177</v>
      </c>
      <c r="L58" s="329"/>
      <c r="M58" s="330">
        <v>30</v>
      </c>
      <c r="N58" s="331">
        <v>21.798327002269634</v>
      </c>
      <c r="O58" s="331">
        <v>26.429626780217831</v>
      </c>
      <c r="P58" s="331">
        <v>31.058269205756996</v>
      </c>
      <c r="Q58" s="331">
        <v>32.948820872922056</v>
      </c>
      <c r="R58" s="331">
        <v>34.832229373353833</v>
      </c>
      <c r="S58" s="331">
        <v>39.043780180722919</v>
      </c>
      <c r="T58" s="331">
        <v>39.239478134091783</v>
      </c>
      <c r="U58" s="294">
        <v>0</v>
      </c>
    </row>
    <row r="59" spans="9:22" ht="13.5" customHeight="1">
      <c r="I59" s="322" t="s">
        <v>371</v>
      </c>
      <c r="J59" s="323" t="s">
        <v>46</v>
      </c>
      <c r="K59" s="322"/>
      <c r="L59" s="329"/>
      <c r="M59" s="330">
        <v>15</v>
      </c>
      <c r="N59" s="331">
        <v>15.722171267623416</v>
      </c>
      <c r="O59" s="331">
        <v>19.062523409924356</v>
      </c>
      <c r="P59" s="331">
        <v>22.400958921206371</v>
      </c>
      <c r="Q59" s="331">
        <v>23.764530405309955</v>
      </c>
      <c r="R59" s="331">
        <v>25.122949838489536</v>
      </c>
      <c r="S59" s="331">
        <v>28.160555572583718</v>
      </c>
      <c r="T59" s="331">
        <v>28.301703869848382</v>
      </c>
      <c r="U59" s="294">
        <v>0</v>
      </c>
    </row>
    <row r="60" spans="9:22" ht="13.5" customHeight="1">
      <c r="I60" s="322" t="s">
        <v>372</v>
      </c>
      <c r="J60" s="323" t="s">
        <v>95</v>
      </c>
      <c r="K60" s="322"/>
      <c r="L60" s="329"/>
      <c r="M60" s="330">
        <v>30</v>
      </c>
      <c r="N60" s="331">
        <v>26.157992402723565</v>
      </c>
      <c r="O60" s="331">
        <v>31.715552136261397</v>
      </c>
      <c r="P60" s="331">
        <v>37.269923046908396</v>
      </c>
      <c r="Q60" s="331">
        <v>39.538585047506473</v>
      </c>
      <c r="R60" s="331">
        <v>41.798675248024608</v>
      </c>
      <c r="S60" s="331">
        <v>46.852536216867499</v>
      </c>
      <c r="T60" s="331">
        <v>47.08737376091014</v>
      </c>
      <c r="U60" s="294">
        <v>0</v>
      </c>
    </row>
    <row r="61" spans="9:22" ht="13.5" customHeight="1">
      <c r="I61" s="322" t="s">
        <v>373</v>
      </c>
      <c r="J61" s="323" t="s">
        <v>174</v>
      </c>
      <c r="K61" s="322"/>
      <c r="L61" s="329"/>
      <c r="M61" s="330">
        <v>30</v>
      </c>
      <c r="N61" s="331">
        <v>18.08832480516017</v>
      </c>
      <c r="O61" s="331">
        <v>21.669199584089156</v>
      </c>
      <c r="P61" s="331">
        <v>25.222856117590865</v>
      </c>
      <c r="Q61" s="331">
        <v>26.6648942469396</v>
      </c>
      <c r="R61" s="331">
        <v>28.098275436544249</v>
      </c>
      <c r="S61" s="331">
        <v>31.288986395289911</v>
      </c>
      <c r="T61" s="331">
        <v>31.445815231335036</v>
      </c>
      <c r="U61" s="294">
        <v>0</v>
      </c>
    </row>
    <row r="62" spans="9:22" ht="13.5" customHeight="1">
      <c r="I62" s="322" t="s">
        <v>374</v>
      </c>
      <c r="J62" s="323" t="s">
        <v>93</v>
      </c>
      <c r="K62" s="322"/>
      <c r="L62" s="329"/>
      <c r="M62" s="330">
        <v>30</v>
      </c>
      <c r="N62" s="331">
        <v>18.171176160434243</v>
      </c>
      <c r="O62" s="331">
        <v>21.924868652640182</v>
      </c>
      <c r="P62" s="331">
        <v>25.644911629073675</v>
      </c>
      <c r="Q62" s="331">
        <v>27.15648488753363</v>
      </c>
      <c r="R62" s="331">
        <v>28.658221510096475</v>
      </c>
      <c r="S62" s="331">
        <v>32.002559463937942</v>
      </c>
      <c r="T62" s="331">
        <v>32.162964920598874</v>
      </c>
      <c r="U62" s="294">
        <v>0</v>
      </c>
    </row>
    <row r="63" spans="9:22" ht="13.5" customHeight="1">
      <c r="I63" s="322" t="s">
        <v>375</v>
      </c>
      <c r="J63" s="323" t="s">
        <v>175</v>
      </c>
      <c r="K63" s="322"/>
      <c r="L63" s="329"/>
      <c r="M63" s="330">
        <v>30</v>
      </c>
      <c r="N63" s="331">
        <v>16.354058544390821</v>
      </c>
      <c r="O63" s="331">
        <v>19.732381787376163</v>
      </c>
      <c r="P63" s="331">
        <v>23.080420466166306</v>
      </c>
      <c r="Q63" s="331">
        <v>24.440836398780267</v>
      </c>
      <c r="R63" s="331">
        <v>25.792399359086826</v>
      </c>
      <c r="S63" s="331">
        <v>28.802303517544146</v>
      </c>
      <c r="T63" s="331">
        <v>28.946668428538995</v>
      </c>
      <c r="U63" s="294">
        <v>0</v>
      </c>
    </row>
    <row r="64" spans="9:22" ht="13.5" customHeight="1">
      <c r="I64" s="323" t="str">
        <f>K37</f>
        <v>EXPJET1</v>
      </c>
      <c r="J64" s="323" t="s">
        <v>438</v>
      </c>
      <c r="K64" s="320"/>
      <c r="L64" s="329"/>
      <c r="M64" s="330">
        <v>30</v>
      </c>
      <c r="N64" s="331">
        <v>19.988293776477668</v>
      </c>
      <c r="O64" s="331">
        <v>24.117355517904201</v>
      </c>
      <c r="P64" s="331">
        <v>28.209402791981042</v>
      </c>
      <c r="Q64" s="331">
        <v>29.872133376286996</v>
      </c>
      <c r="R64" s="331">
        <v>31.524043661106123</v>
      </c>
      <c r="S64" s="331">
        <v>35.202815410331738</v>
      </c>
      <c r="T64" s="331">
        <v>35.379261412658764</v>
      </c>
      <c r="U64" s="294">
        <v>0</v>
      </c>
    </row>
    <row r="65" spans="9:21" ht="13.5" customHeight="1">
      <c r="I65" s="322" t="s">
        <v>376</v>
      </c>
      <c r="J65" s="323" t="s">
        <v>177</v>
      </c>
      <c r="K65" s="320"/>
      <c r="L65" s="329"/>
      <c r="M65" s="330">
        <v>30</v>
      </c>
      <c r="N65" s="331">
        <v>17.438661601815706</v>
      </c>
      <c r="O65" s="331">
        <v>21.143701424174267</v>
      </c>
      <c r="P65" s="331">
        <v>24.846615364605597</v>
      </c>
      <c r="Q65" s="331">
        <v>26.359056698337646</v>
      </c>
      <c r="R65" s="331">
        <v>27.865783498683069</v>
      </c>
      <c r="S65" s="331">
        <v>31.235024144578336</v>
      </c>
      <c r="T65" s="331">
        <v>31.391582507273426</v>
      </c>
      <c r="U65"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topLeftCell="F19" zoomScale="85" zoomScaleNormal="85" workbookViewId="0">
      <selection activeCell="T35" sqref="T35"/>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333" bestFit="1" customWidth="1"/>
    <col min="18" max="18" width="10.42578125" style="333" bestFit="1" customWidth="1"/>
    <col min="19" max="16384" width="8.85546875" style="333"/>
  </cols>
  <sheetData>
    <row r="1" spans="2:16" ht="24">
      <c r="B1" s="100" t="s">
        <v>66</v>
      </c>
      <c r="C1" s="100" t="s">
        <v>67</v>
      </c>
      <c r="D1" s="100" t="s">
        <v>68</v>
      </c>
      <c r="E1" s="100" t="s">
        <v>70</v>
      </c>
      <c r="F1" s="100" t="s">
        <v>71</v>
      </c>
    </row>
    <row r="2" spans="2:16">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16">
      <c r="C3" s="136" t="str">
        <f>[3]EB1!S32</f>
        <v>GEO</v>
      </c>
      <c r="D3" s="136" t="str">
        <f>[3]EB1!S31</f>
        <v>Geothermal</v>
      </c>
      <c r="E3" s="136" t="str">
        <f>[3]EB1!$Z$2</f>
        <v>PJ</v>
      </c>
      <c r="H3" s="104" t="s">
        <v>7</v>
      </c>
      <c r="I3" s="105" t="s">
        <v>30</v>
      </c>
      <c r="J3" s="104" t="s">
        <v>0</v>
      </c>
      <c r="K3" s="104" t="s">
        <v>3</v>
      </c>
      <c r="L3" s="104" t="s">
        <v>4</v>
      </c>
      <c r="M3" s="104" t="s">
        <v>8</v>
      </c>
      <c r="N3" s="104" t="s">
        <v>9</v>
      </c>
      <c r="O3" s="104" t="s">
        <v>10</v>
      </c>
      <c r="P3" s="104" t="s">
        <v>12</v>
      </c>
    </row>
    <row r="4" spans="2:16" ht="11.25" customHeight="1" thickBot="1">
      <c r="C4" s="136" t="str">
        <f>[3]EB1!T32</f>
        <v>SOL</v>
      </c>
      <c r="D4" s="136" t="str">
        <f>[3]EB1!T31</f>
        <v>Solar</v>
      </c>
      <c r="E4" s="136" t="str">
        <f>[3]EB1!$Z$2</f>
        <v>PJ</v>
      </c>
      <c r="H4" s="402" t="s">
        <v>37</v>
      </c>
      <c r="I4" s="402" t="s">
        <v>31</v>
      </c>
      <c r="J4" s="402" t="s">
        <v>26</v>
      </c>
      <c r="K4" s="402" t="s">
        <v>27</v>
      </c>
      <c r="L4" s="402" t="s">
        <v>4</v>
      </c>
      <c r="M4" s="402" t="s">
        <v>40</v>
      </c>
      <c r="N4" s="402" t="s">
        <v>41</v>
      </c>
      <c r="O4" s="402" t="s">
        <v>28</v>
      </c>
      <c r="P4" s="402" t="s">
        <v>29</v>
      </c>
    </row>
    <row r="5" spans="2:16">
      <c r="C5" s="136" t="str">
        <f>[3]EB1!U32</f>
        <v>WIN</v>
      </c>
      <c r="D5" s="136" t="str">
        <f>[3]EB1!U31</f>
        <v>Wind</v>
      </c>
      <c r="E5" s="136" t="str">
        <f>[3]EB1!$Z$2</f>
        <v>PJ</v>
      </c>
      <c r="H5" s="103" t="s">
        <v>65</v>
      </c>
      <c r="I5" s="103"/>
      <c r="J5" s="103" t="str">
        <f t="shared" ref="J5:J10" si="0">C2</f>
        <v>HYD</v>
      </c>
      <c r="K5" s="103" t="s">
        <v>456</v>
      </c>
      <c r="L5" s="103" t="str">
        <f t="shared" ref="L5:L12" si="1">$E$2</f>
        <v>PJ</v>
      </c>
      <c r="M5" s="103" t="s">
        <v>463</v>
      </c>
      <c r="N5" s="103" t="s">
        <v>92</v>
      </c>
      <c r="O5" s="103"/>
      <c r="P5" s="103"/>
    </row>
    <row r="6" spans="2:16">
      <c r="C6" s="137" t="str">
        <f>[3]EB1!V32</f>
        <v>BIL</v>
      </c>
      <c r="D6" s="137" t="str">
        <f>[3]EB1!V31</f>
        <v>Liquid Biofuels</v>
      </c>
      <c r="E6" s="137"/>
      <c r="H6" s="103"/>
      <c r="I6" s="103"/>
      <c r="J6" s="103" t="str">
        <f t="shared" si="0"/>
        <v>GEO</v>
      </c>
      <c r="K6" s="103" t="s">
        <v>457</v>
      </c>
      <c r="L6" s="103" t="str">
        <f t="shared" si="1"/>
        <v>PJ</v>
      </c>
      <c r="M6" s="103" t="s">
        <v>463</v>
      </c>
      <c r="N6" s="103" t="s">
        <v>92</v>
      </c>
      <c r="O6" s="103"/>
      <c r="P6" s="103"/>
    </row>
    <row r="7" spans="2:16">
      <c r="C7" s="136" t="str">
        <f>[3]EB1!W32</f>
        <v>BIG</v>
      </c>
      <c r="D7" s="136" t="str">
        <f>[3]EB1!W31</f>
        <v>Biogas</v>
      </c>
      <c r="E7" s="137"/>
      <c r="H7" s="103"/>
      <c r="I7" s="103"/>
      <c r="J7" s="103" t="str">
        <f t="shared" si="0"/>
        <v>SOL</v>
      </c>
      <c r="K7" s="103" t="s">
        <v>458</v>
      </c>
      <c r="L7" s="103" t="str">
        <f t="shared" si="1"/>
        <v>PJ</v>
      </c>
      <c r="M7" s="103" t="s">
        <v>463</v>
      </c>
      <c r="N7" s="103" t="s">
        <v>92</v>
      </c>
      <c r="O7" s="103"/>
      <c r="P7" s="103"/>
    </row>
    <row r="8" spans="2:16">
      <c r="C8" s="136" t="str">
        <f>[3]EB1!X32</f>
        <v>WOD</v>
      </c>
      <c r="D8" s="136" t="str">
        <f>[3]EB1!X31</f>
        <v>Wood</v>
      </c>
      <c r="E8" s="137"/>
      <c r="H8" s="103"/>
      <c r="I8" s="103"/>
      <c r="J8" s="103" t="str">
        <f t="shared" si="0"/>
        <v>WIN</v>
      </c>
      <c r="K8" s="103" t="s">
        <v>459</v>
      </c>
      <c r="L8" s="103" t="str">
        <f t="shared" si="1"/>
        <v>PJ</v>
      </c>
      <c r="M8" s="103" t="s">
        <v>463</v>
      </c>
      <c r="N8" s="103" t="s">
        <v>92</v>
      </c>
      <c r="O8" s="103"/>
      <c r="P8" s="103"/>
    </row>
    <row r="9" spans="2:16">
      <c r="C9" s="136" t="str">
        <f>[3]EB1!Y32</f>
        <v>TID</v>
      </c>
      <c r="D9" s="136" t="str">
        <f>[3]EB1!Y31</f>
        <v>Tidal</v>
      </c>
      <c r="E9" s="137"/>
      <c r="H9" s="103"/>
      <c r="I9" s="103"/>
      <c r="J9" s="103" t="str">
        <f t="shared" si="0"/>
        <v>BIL</v>
      </c>
      <c r="K9" s="103" t="s">
        <v>460</v>
      </c>
      <c r="L9" s="103" t="str">
        <f t="shared" si="1"/>
        <v>PJ</v>
      </c>
      <c r="M9" s="103" t="s">
        <v>463</v>
      </c>
      <c r="N9" s="103" t="s">
        <v>92</v>
      </c>
      <c r="O9" s="103"/>
      <c r="P9" s="103"/>
    </row>
    <row r="10" spans="2:16">
      <c r="C10" s="135" t="s">
        <v>347</v>
      </c>
      <c r="D10" s="135" t="s">
        <v>348</v>
      </c>
      <c r="H10" s="103"/>
      <c r="I10" s="103"/>
      <c r="J10" s="103" t="str">
        <f t="shared" si="0"/>
        <v>BIG</v>
      </c>
      <c r="K10" s="103" t="s">
        <v>461</v>
      </c>
      <c r="L10" s="103" t="str">
        <f t="shared" si="1"/>
        <v>PJ</v>
      </c>
      <c r="M10" s="103" t="s">
        <v>463</v>
      </c>
      <c r="N10" s="103" t="s">
        <v>92</v>
      </c>
      <c r="O10" s="103"/>
      <c r="P10" s="103"/>
    </row>
    <row r="11" spans="2:16">
      <c r="C11" s="135"/>
      <c r="D11" s="135"/>
      <c r="H11" s="103"/>
      <c r="I11" s="103"/>
      <c r="J11" s="103" t="str">
        <f>C9</f>
        <v>TID</v>
      </c>
      <c r="K11" s="103" t="s">
        <v>462</v>
      </c>
      <c r="L11" s="103" t="str">
        <f t="shared" si="1"/>
        <v>PJ</v>
      </c>
      <c r="M11" s="103" t="s">
        <v>463</v>
      </c>
      <c r="N11" s="103" t="s">
        <v>92</v>
      </c>
      <c r="O11" s="103"/>
      <c r="P11" s="103"/>
    </row>
    <row r="12" spans="2:16">
      <c r="C12" s="135"/>
      <c r="D12" s="135"/>
      <c r="H12" s="103"/>
      <c r="I12" s="103"/>
      <c r="J12" s="103" t="str">
        <f>C10</f>
        <v>URN</v>
      </c>
      <c r="K12" s="103" t="s">
        <v>348</v>
      </c>
      <c r="L12" s="103" t="str">
        <f t="shared" si="1"/>
        <v>PJ</v>
      </c>
      <c r="M12" s="103" t="s">
        <v>463</v>
      </c>
      <c r="N12" s="103" t="s">
        <v>92</v>
      </c>
      <c r="O12" s="103"/>
      <c r="P12" s="103"/>
    </row>
    <row r="13" spans="2:16">
      <c r="D13" s="334"/>
    </row>
    <row r="14" spans="2:16">
      <c r="E14" s="334"/>
      <c r="H14" s="102" t="s">
        <v>15</v>
      </c>
      <c r="I14" s="102"/>
      <c r="J14" s="103"/>
      <c r="K14" s="103"/>
      <c r="L14" s="103"/>
      <c r="M14" s="103"/>
      <c r="N14" s="103"/>
      <c r="O14" s="103"/>
      <c r="P14" s="103"/>
    </row>
    <row r="15" spans="2:16">
      <c r="B15" s="108"/>
      <c r="C15" s="109"/>
      <c r="D15" s="108"/>
      <c r="E15" s="110"/>
      <c r="F15" s="110"/>
      <c r="H15" s="104" t="s">
        <v>11</v>
      </c>
      <c r="I15" s="105" t="s">
        <v>30</v>
      </c>
      <c r="J15" s="104" t="s">
        <v>1</v>
      </c>
      <c r="K15" s="104" t="s">
        <v>2</v>
      </c>
      <c r="L15" s="104" t="s">
        <v>16</v>
      </c>
      <c r="M15" s="104" t="s">
        <v>17</v>
      </c>
      <c r="N15" s="104" t="s">
        <v>18</v>
      </c>
      <c r="O15" s="104" t="s">
        <v>19</v>
      </c>
      <c r="P15" s="104" t="s">
        <v>20</v>
      </c>
    </row>
    <row r="16" spans="2:16" ht="36.75" thickBot="1">
      <c r="B16" s="403"/>
      <c r="C16" s="403"/>
      <c r="D16" s="403"/>
      <c r="E16" s="403"/>
      <c r="F16" s="403"/>
      <c r="H16" s="402" t="s">
        <v>38</v>
      </c>
      <c r="I16" s="402" t="s">
        <v>31</v>
      </c>
      <c r="J16" s="402" t="s">
        <v>21</v>
      </c>
      <c r="K16" s="402" t="s">
        <v>22</v>
      </c>
      <c r="L16" s="402" t="s">
        <v>23</v>
      </c>
      <c r="M16" s="402" t="s">
        <v>24</v>
      </c>
      <c r="N16" s="402" t="s">
        <v>43</v>
      </c>
      <c r="O16" s="402" t="s">
        <v>42</v>
      </c>
      <c r="P16" s="402" t="s">
        <v>25</v>
      </c>
    </row>
    <row r="17" spans="2:22" ht="12.75" thickBot="1">
      <c r="B17" s="403"/>
      <c r="C17" s="404"/>
      <c r="D17" s="404"/>
      <c r="E17" s="404"/>
      <c r="F17" s="404"/>
      <c r="H17" s="402" t="s">
        <v>73</v>
      </c>
      <c r="I17" s="405"/>
      <c r="J17" s="405"/>
      <c r="K17" s="405"/>
      <c r="L17" s="405"/>
      <c r="M17" s="405"/>
      <c r="N17" s="405"/>
      <c r="O17" s="405"/>
      <c r="P17" s="405"/>
    </row>
    <row r="18" spans="2:22">
      <c r="E18" s="304"/>
      <c r="F18" s="305"/>
      <c r="H18" s="103" t="str">
        <f>[3]EB1!$B$5</f>
        <v>MIN</v>
      </c>
      <c r="I18" s="103"/>
      <c r="J18" s="103" t="str">
        <f t="shared" ref="J18:J21" si="2">$H$18&amp;C2&amp;1</f>
        <v>MINHYD1</v>
      </c>
      <c r="K18" s="115"/>
      <c r="L18" s="103" t="str">
        <f t="shared" ref="L18:L23" si="3">$E$2</f>
        <v>PJ</v>
      </c>
      <c r="M18" s="103" t="str">
        <f t="shared" ref="M18:M23" si="4">$E$2&amp;"a"</f>
        <v>PJa</v>
      </c>
      <c r="N18" s="103" t="s">
        <v>92</v>
      </c>
      <c r="O18" s="103"/>
      <c r="P18" s="103"/>
    </row>
    <row r="19" spans="2:22">
      <c r="E19" s="305"/>
      <c r="F19" s="305"/>
      <c r="H19" s="103"/>
      <c r="I19" s="103"/>
      <c r="J19" s="103" t="str">
        <f t="shared" si="2"/>
        <v>MINGEO1</v>
      </c>
      <c r="K19" s="115"/>
      <c r="L19" s="103" t="str">
        <f t="shared" si="3"/>
        <v>PJ</v>
      </c>
      <c r="M19" s="103" t="str">
        <f t="shared" si="4"/>
        <v>PJa</v>
      </c>
      <c r="N19" s="103" t="s">
        <v>92</v>
      </c>
      <c r="O19" s="103"/>
      <c r="P19" s="103"/>
    </row>
    <row r="20" spans="2:22">
      <c r="E20" s="305"/>
      <c r="F20" s="305"/>
      <c r="H20" s="103"/>
      <c r="I20" s="103"/>
      <c r="J20" s="103" t="str">
        <f t="shared" si="2"/>
        <v>MINSOL1</v>
      </c>
      <c r="K20" s="115"/>
      <c r="L20" s="103" t="str">
        <f t="shared" si="3"/>
        <v>PJ</v>
      </c>
      <c r="M20" s="103" t="str">
        <f t="shared" si="4"/>
        <v>PJa</v>
      </c>
      <c r="N20" s="103" t="s">
        <v>92</v>
      </c>
      <c r="O20" s="103"/>
      <c r="P20" s="103"/>
    </row>
    <row r="21" spans="2:22">
      <c r="E21" s="304"/>
      <c r="F21" s="304"/>
      <c r="H21" s="103"/>
      <c r="I21" s="103"/>
      <c r="J21" s="103" t="str">
        <f t="shared" si="2"/>
        <v>MINWIN1</v>
      </c>
      <c r="K21" s="115"/>
      <c r="L21" s="103" t="str">
        <f t="shared" si="3"/>
        <v>PJ</v>
      </c>
      <c r="M21" s="103" t="str">
        <f t="shared" si="4"/>
        <v>PJa</v>
      </c>
      <c r="N21" s="103" t="s">
        <v>92</v>
      </c>
      <c r="O21" s="103"/>
      <c r="P21" s="103"/>
    </row>
    <row r="22" spans="2:22">
      <c r="B22" s="103"/>
      <c r="E22" s="304"/>
      <c r="F22" s="305"/>
      <c r="I22" s="103"/>
      <c r="J22" s="103" t="str">
        <f>$H$18&amp;C9&amp;1</f>
        <v>MINTID1</v>
      </c>
      <c r="K22" s="115"/>
      <c r="L22" s="103" t="str">
        <f t="shared" si="3"/>
        <v>PJ</v>
      </c>
      <c r="M22" s="103" t="str">
        <f t="shared" si="4"/>
        <v>PJa</v>
      </c>
      <c r="N22" s="103" t="s">
        <v>92</v>
      </c>
    </row>
    <row r="23" spans="2:22" ht="19.5" customHeight="1">
      <c r="E23" s="304"/>
      <c r="F23" s="305"/>
      <c r="J23" s="103" t="str">
        <f>$H$18&amp;C10&amp;1</f>
        <v>MINURN1</v>
      </c>
      <c r="K23" s="115"/>
      <c r="L23" s="103" t="str">
        <f t="shared" si="3"/>
        <v>PJ</v>
      </c>
      <c r="M23" s="103" t="str">
        <f t="shared" si="4"/>
        <v>PJa</v>
      </c>
      <c r="N23" s="103" t="s">
        <v>92</v>
      </c>
    </row>
    <row r="24" spans="2:22">
      <c r="B24" s="333"/>
      <c r="C24" s="333"/>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2"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A12" zoomScale="80" zoomScaleNormal="80" workbookViewId="0">
      <selection activeCell="H48" sqref="H48"/>
    </sheetView>
  </sheetViews>
  <sheetFormatPr defaultColWidth="20.85546875" defaultRowHeight="18" customHeight="1"/>
  <cols>
    <col min="1" max="16384" width="20.85546875" style="428"/>
  </cols>
  <sheetData>
    <row r="1" spans="1:25" ht="18" customHeight="1">
      <c r="B1" s="428" t="s">
        <v>576</v>
      </c>
      <c r="E1" s="428" t="s">
        <v>577</v>
      </c>
    </row>
    <row r="4" spans="1:25" ht="18" customHeight="1">
      <c r="B4" s="429" t="s">
        <v>14</v>
      </c>
      <c r="C4" s="429"/>
      <c r="D4" s="323"/>
      <c r="E4" s="323"/>
      <c r="F4" s="323"/>
      <c r="G4" s="323"/>
      <c r="H4" s="323"/>
      <c r="I4" s="323"/>
      <c r="J4" s="323"/>
    </row>
    <row r="5" spans="1:25" ht="18" customHeight="1">
      <c r="B5" s="430" t="s">
        <v>7</v>
      </c>
      <c r="C5" s="431" t="s">
        <v>30</v>
      </c>
      <c r="D5" s="430" t="s">
        <v>0</v>
      </c>
      <c r="E5" s="430" t="s">
        <v>3</v>
      </c>
      <c r="F5" s="430" t="s">
        <v>4</v>
      </c>
      <c r="G5" s="430" t="s">
        <v>8</v>
      </c>
      <c r="H5" s="430" t="s">
        <v>9</v>
      </c>
      <c r="I5" s="430" t="s">
        <v>10</v>
      </c>
      <c r="J5" s="430" t="s">
        <v>12</v>
      </c>
    </row>
    <row r="6" spans="1:25" ht="18" customHeight="1" thickBot="1">
      <c r="B6" s="432" t="s">
        <v>37</v>
      </c>
      <c r="C6" s="432" t="s">
        <v>31</v>
      </c>
      <c r="D6" s="432" t="s">
        <v>26</v>
      </c>
      <c r="E6" s="432" t="s">
        <v>27</v>
      </c>
      <c r="F6" s="432" t="s">
        <v>4</v>
      </c>
      <c r="G6" s="432" t="s">
        <v>40</v>
      </c>
      <c r="H6" s="432" t="s">
        <v>41</v>
      </c>
      <c r="I6" s="432" t="s">
        <v>28</v>
      </c>
      <c r="J6" s="432" t="s">
        <v>29</v>
      </c>
    </row>
    <row r="7" spans="1:25" ht="18" customHeight="1">
      <c r="B7" s="323" t="s">
        <v>65</v>
      </c>
      <c r="C7" s="323"/>
      <c r="D7" s="428" t="s">
        <v>578</v>
      </c>
      <c r="E7" s="428" t="s">
        <v>579</v>
      </c>
      <c r="F7" s="428" t="s">
        <v>69</v>
      </c>
      <c r="G7" s="428" t="s">
        <v>463</v>
      </c>
      <c r="H7" s="323"/>
      <c r="I7" s="323"/>
      <c r="J7" s="323"/>
    </row>
    <row r="8" spans="1:25" ht="18" customHeight="1">
      <c r="D8" s="428" t="s">
        <v>580</v>
      </c>
      <c r="E8" s="428" t="s">
        <v>581</v>
      </c>
      <c r="F8" s="428" t="s">
        <v>69</v>
      </c>
      <c r="G8" s="428" t="s">
        <v>463</v>
      </c>
    </row>
    <row r="9" spans="1:25" ht="18" customHeight="1">
      <c r="D9" s="428" t="s">
        <v>582</v>
      </c>
      <c r="E9" s="428" t="s">
        <v>583</v>
      </c>
      <c r="F9" s="428" t="s">
        <v>69</v>
      </c>
      <c r="G9" s="428" t="s">
        <v>463</v>
      </c>
      <c r="H9" s="433" t="s">
        <v>92</v>
      </c>
    </row>
    <row r="10" spans="1:25" ht="18" customHeight="1">
      <c r="D10" s="428" t="s">
        <v>584</v>
      </c>
      <c r="E10" s="428" t="s">
        <v>585</v>
      </c>
      <c r="F10" s="428" t="s">
        <v>69</v>
      </c>
      <c r="G10" s="428" t="s">
        <v>463</v>
      </c>
    </row>
    <row r="11" spans="1:25" ht="18" customHeight="1">
      <c r="D11" s="428" t="s">
        <v>586</v>
      </c>
      <c r="E11" s="428" t="s">
        <v>587</v>
      </c>
      <c r="F11" s="428" t="s">
        <v>69</v>
      </c>
      <c r="G11" s="428" t="s">
        <v>463</v>
      </c>
      <c r="V11" s="320" t="s">
        <v>588</v>
      </c>
      <c r="W11" s="320"/>
      <c r="X11" s="320" t="s">
        <v>589</v>
      </c>
      <c r="Y11" s="320">
        <v>288</v>
      </c>
    </row>
    <row r="12" spans="1:25" ht="18" customHeight="1">
      <c r="D12" s="428" t="s">
        <v>590</v>
      </c>
      <c r="E12" s="428" t="s">
        <v>591</v>
      </c>
      <c r="F12" s="428" t="s">
        <v>69</v>
      </c>
      <c r="G12" s="428" t="s">
        <v>463</v>
      </c>
      <c r="P12" s="428" t="s">
        <v>592</v>
      </c>
      <c r="V12" s="320"/>
      <c r="W12" s="320"/>
      <c r="X12" s="320" t="s">
        <v>589</v>
      </c>
      <c r="Y12" s="320">
        <v>256</v>
      </c>
    </row>
    <row r="13" spans="1:25" ht="18" customHeight="1">
      <c r="A13" s="320"/>
      <c r="D13" s="428" t="s">
        <v>593</v>
      </c>
      <c r="E13" s="428" t="s">
        <v>594</v>
      </c>
      <c r="F13" s="428" t="s">
        <v>69</v>
      </c>
      <c r="G13" s="428" t="s">
        <v>463</v>
      </c>
      <c r="V13" s="320"/>
      <c r="W13" s="320"/>
      <c r="X13" s="320" t="s">
        <v>589</v>
      </c>
      <c r="Y13" s="320">
        <v>2139</v>
      </c>
    </row>
    <row r="14" spans="1:25" ht="18" customHeight="1">
      <c r="A14" s="320"/>
      <c r="D14" s="428" t="s">
        <v>182</v>
      </c>
      <c r="E14" s="428" t="s">
        <v>595</v>
      </c>
      <c r="F14" s="428" t="s">
        <v>69</v>
      </c>
      <c r="G14" s="428" t="s">
        <v>463</v>
      </c>
      <c r="H14" s="428" t="s">
        <v>92</v>
      </c>
      <c r="P14" s="428" t="s">
        <v>596</v>
      </c>
      <c r="Q14" s="434">
        <f>80%</f>
        <v>0.8</v>
      </c>
      <c r="V14" s="320"/>
      <c r="W14" s="320"/>
      <c r="X14" s="320" t="s">
        <v>589</v>
      </c>
      <c r="Y14" s="320">
        <v>373</v>
      </c>
    </row>
    <row r="15" spans="1:25" ht="18" customHeight="1">
      <c r="A15" s="320"/>
      <c r="D15" s="428" t="s">
        <v>677</v>
      </c>
      <c r="E15" s="428" t="s">
        <v>680</v>
      </c>
      <c r="F15" s="428" t="s">
        <v>69</v>
      </c>
      <c r="G15" s="428" t="s">
        <v>463</v>
      </c>
      <c r="P15" s="428" t="s">
        <v>597</v>
      </c>
      <c r="Q15" s="434">
        <v>0.2</v>
      </c>
      <c r="V15" s="320"/>
      <c r="W15" s="320"/>
      <c r="X15" s="320" t="s">
        <v>589</v>
      </c>
      <c r="Y15" s="320">
        <v>267</v>
      </c>
    </row>
    <row r="16" spans="1:25" ht="18" customHeight="1">
      <c r="D16" s="428" t="s">
        <v>678</v>
      </c>
      <c r="E16" s="428" t="s">
        <v>681</v>
      </c>
      <c r="F16" s="428" t="s">
        <v>69</v>
      </c>
      <c r="G16" s="428" t="s">
        <v>463</v>
      </c>
      <c r="V16" s="320"/>
      <c r="W16" s="320"/>
      <c r="X16" s="320" t="s">
        <v>597</v>
      </c>
      <c r="Y16" s="320">
        <v>316</v>
      </c>
    </row>
    <row r="17" spans="2:25" ht="18" customHeight="1">
      <c r="D17" s="428" t="s">
        <v>689</v>
      </c>
      <c r="E17" s="428" t="s">
        <v>693</v>
      </c>
      <c r="F17" s="428" t="s">
        <v>69</v>
      </c>
      <c r="G17" s="428" t="s">
        <v>463</v>
      </c>
      <c r="P17" s="428" t="s">
        <v>598</v>
      </c>
      <c r="Q17" s="428">
        <v>66.489999999999995</v>
      </c>
      <c r="V17" s="320"/>
      <c r="W17" s="320"/>
      <c r="X17" s="320" t="s">
        <v>597</v>
      </c>
      <c r="Y17" s="320">
        <v>73</v>
      </c>
    </row>
    <row r="18" spans="2:25" ht="18" customHeight="1">
      <c r="V18" s="320"/>
      <c r="W18" s="320"/>
      <c r="X18" s="320" t="s">
        <v>597</v>
      </c>
      <c r="Y18" s="320">
        <v>149</v>
      </c>
    </row>
    <row r="19" spans="2:25" ht="18" customHeight="1">
      <c r="B19" s="429" t="s">
        <v>15</v>
      </c>
      <c r="C19" s="429"/>
      <c r="D19" s="323"/>
      <c r="E19" s="323"/>
      <c r="F19" s="323"/>
      <c r="G19" s="323"/>
      <c r="H19" s="323"/>
      <c r="I19" s="323"/>
      <c r="J19" s="323"/>
      <c r="P19" s="435"/>
      <c r="Q19" s="435" t="s">
        <v>69</v>
      </c>
      <c r="R19" s="428" t="s">
        <v>69</v>
      </c>
      <c r="S19" s="435" t="s">
        <v>69</v>
      </c>
      <c r="T19" s="435" t="s">
        <v>69</v>
      </c>
      <c r="V19" s="320"/>
      <c r="W19" s="320"/>
      <c r="X19" s="320" t="s">
        <v>597</v>
      </c>
      <c r="Y19" s="320">
        <v>263</v>
      </c>
    </row>
    <row r="20" spans="2:25" ht="18" customHeight="1">
      <c r="B20" s="430" t="s">
        <v>11</v>
      </c>
      <c r="C20" s="431" t="s">
        <v>30</v>
      </c>
      <c r="D20" s="430" t="s">
        <v>1</v>
      </c>
      <c r="E20" s="430" t="s">
        <v>2</v>
      </c>
      <c r="F20" s="430" t="s">
        <v>16</v>
      </c>
      <c r="G20" s="430" t="s">
        <v>17</v>
      </c>
      <c r="H20" s="430" t="s">
        <v>18</v>
      </c>
      <c r="I20" s="430" t="s">
        <v>19</v>
      </c>
      <c r="J20" s="430" t="s">
        <v>20</v>
      </c>
      <c r="P20" s="435" t="s">
        <v>599</v>
      </c>
      <c r="Q20" s="435">
        <v>2005</v>
      </c>
      <c r="R20" s="428">
        <v>2015</v>
      </c>
      <c r="S20" s="435">
        <v>2030</v>
      </c>
      <c r="T20" s="435">
        <v>2050</v>
      </c>
      <c r="V20" s="320"/>
      <c r="W20" s="320"/>
      <c r="X20" s="320" t="s">
        <v>154</v>
      </c>
      <c r="Y20" s="320">
        <f>SUM(Y11:Y19)</f>
        <v>4124</v>
      </c>
    </row>
    <row r="21" spans="2:25" ht="18" customHeight="1" thickBot="1">
      <c r="B21" s="432" t="s">
        <v>38</v>
      </c>
      <c r="C21" s="432" t="s">
        <v>31</v>
      </c>
      <c r="D21" s="432" t="s">
        <v>21</v>
      </c>
      <c r="E21" s="432" t="s">
        <v>22</v>
      </c>
      <c r="F21" s="432" t="s">
        <v>23</v>
      </c>
      <c r="G21" s="432" t="s">
        <v>24</v>
      </c>
      <c r="H21" s="432" t="s">
        <v>43</v>
      </c>
      <c r="I21" s="432" t="s">
        <v>42</v>
      </c>
      <c r="J21" s="432" t="s">
        <v>25</v>
      </c>
      <c r="P21" s="435" t="s">
        <v>600</v>
      </c>
      <c r="Q21" s="435">
        <v>18.3</v>
      </c>
      <c r="R21" s="428">
        <f>+(Q21+S21)/2</f>
        <v>30.65</v>
      </c>
      <c r="S21" s="435">
        <v>43</v>
      </c>
      <c r="T21" s="435">
        <v>36.9</v>
      </c>
      <c r="V21" s="320"/>
      <c r="W21" s="320"/>
      <c r="X21" s="320"/>
      <c r="Y21" s="320"/>
    </row>
    <row r="22" spans="2:25" ht="18" customHeight="1" thickBot="1">
      <c r="B22" s="432" t="s">
        <v>73</v>
      </c>
      <c r="C22" s="432"/>
      <c r="D22" s="432"/>
      <c r="E22" s="432"/>
      <c r="F22" s="432"/>
      <c r="G22" s="432"/>
      <c r="H22" s="432"/>
      <c r="I22" s="432"/>
      <c r="J22" s="432"/>
      <c r="P22" s="435" t="s">
        <v>601</v>
      </c>
      <c r="Q22" s="435">
        <v>8.8000000000000007</v>
      </c>
      <c r="R22" s="428">
        <f t="shared" ref="R22:R36" si="0">+(Q22+S22)/2</f>
        <v>10.100000000000001</v>
      </c>
      <c r="S22" s="435">
        <v>11.4</v>
      </c>
      <c r="T22" s="435">
        <v>23</v>
      </c>
      <c r="V22" s="320"/>
      <c r="W22" s="320"/>
      <c r="X22" s="436" t="s">
        <v>589</v>
      </c>
      <c r="Y22" s="436">
        <f>SUM(Y11:Y15)/Y20</f>
        <v>0.80577109602327834</v>
      </c>
    </row>
    <row r="23" spans="2:25" ht="18" customHeight="1">
      <c r="B23" s="323" t="str">
        <f>[3]EB1!$B$5</f>
        <v>MIN</v>
      </c>
      <c r="C23" s="323"/>
      <c r="D23" s="323" t="str">
        <f>+B51</f>
        <v>MINWODWST00</v>
      </c>
      <c r="E23" s="322" t="s">
        <v>602</v>
      </c>
      <c r="F23" s="323" t="str">
        <f>$F$7</f>
        <v>PJ</v>
      </c>
      <c r="G23" s="323" t="str">
        <f>$F$7&amp;"a"</f>
        <v>PJa</v>
      </c>
      <c r="H23" s="323"/>
      <c r="I23" s="323"/>
      <c r="J23" s="323"/>
      <c r="P23" s="435" t="s">
        <v>603</v>
      </c>
      <c r="Q23" s="435">
        <v>4.4000000000000004</v>
      </c>
      <c r="R23" s="428">
        <f t="shared" si="0"/>
        <v>3.5500000000000003</v>
      </c>
      <c r="S23" s="435">
        <v>2.7</v>
      </c>
      <c r="T23" s="435">
        <v>3.6</v>
      </c>
      <c r="V23" s="320"/>
      <c r="W23" s="320"/>
      <c r="X23" s="436" t="s">
        <v>597</v>
      </c>
      <c r="Y23" s="436">
        <f>SUM(Y16:Y19)/Y20</f>
        <v>0.19422890397672163</v>
      </c>
    </row>
    <row r="24" spans="2:25" ht="18" customHeight="1">
      <c r="B24" s="323" t="str">
        <f>[3]EB1!$B$5</f>
        <v>MIN</v>
      </c>
      <c r="C24" s="323"/>
      <c r="D24" s="323" t="str">
        <f t="shared" ref="D24:D30" si="1">+B53</f>
        <v>MINWODWST02</v>
      </c>
      <c r="E24" s="322" t="s">
        <v>604</v>
      </c>
      <c r="F24" s="323" t="str">
        <f t="shared" ref="F24:F43" si="2">$F$7</f>
        <v>PJ</v>
      </c>
      <c r="G24" s="323" t="str">
        <f t="shared" ref="G24:G32" si="3">$F$7&amp;"a"</f>
        <v>PJa</v>
      </c>
      <c r="H24" s="323"/>
      <c r="I24" s="323"/>
      <c r="J24" s="323"/>
      <c r="P24" s="435" t="s">
        <v>605</v>
      </c>
      <c r="Q24" s="435">
        <v>0.4</v>
      </c>
      <c r="R24" s="428">
        <f t="shared" si="0"/>
        <v>0.4</v>
      </c>
      <c r="S24" s="435">
        <v>0.4</v>
      </c>
      <c r="T24" s="435">
        <v>0.4</v>
      </c>
      <c r="V24" s="320"/>
      <c r="W24" s="320"/>
      <c r="X24" s="320"/>
      <c r="Y24" s="320"/>
    </row>
    <row r="25" spans="2:25" ht="18" customHeight="1">
      <c r="B25" s="323" t="str">
        <f>[3]EB1!$B$5</f>
        <v>MIN</v>
      </c>
      <c r="C25" s="323"/>
      <c r="D25" s="323" t="str">
        <f t="shared" si="1"/>
        <v>MINAGRWST00</v>
      </c>
      <c r="E25" s="322" t="s">
        <v>606</v>
      </c>
      <c r="F25" s="323" t="str">
        <f t="shared" si="2"/>
        <v>PJ</v>
      </c>
      <c r="G25" s="323" t="str">
        <f t="shared" si="3"/>
        <v>PJa</v>
      </c>
      <c r="H25" s="323"/>
      <c r="I25" s="323"/>
      <c r="J25" s="323"/>
      <c r="P25" s="435" t="s">
        <v>607</v>
      </c>
      <c r="Q25" s="435">
        <v>9.1</v>
      </c>
      <c r="R25" s="428">
        <f t="shared" si="0"/>
        <v>9.1</v>
      </c>
      <c r="S25" s="435">
        <v>9.1</v>
      </c>
      <c r="T25" s="435">
        <v>9.1</v>
      </c>
      <c r="V25" s="320" t="s">
        <v>608</v>
      </c>
      <c r="W25" s="320"/>
      <c r="X25" s="320"/>
      <c r="Y25" s="320"/>
    </row>
    <row r="26" spans="2:25" ht="18" customHeight="1">
      <c r="B26" s="323" t="str">
        <f>[3]EB1!$B$5</f>
        <v>MIN</v>
      </c>
      <c r="C26" s="323"/>
      <c r="D26" s="323" t="str">
        <f t="shared" si="1"/>
        <v>MINAGRWST01</v>
      </c>
      <c r="E26" s="322" t="s">
        <v>609</v>
      </c>
      <c r="F26" s="323" t="str">
        <f t="shared" si="2"/>
        <v>PJ</v>
      </c>
      <c r="G26" s="323" t="str">
        <f t="shared" si="3"/>
        <v>PJa</v>
      </c>
      <c r="H26" s="323"/>
      <c r="I26" s="323"/>
      <c r="J26" s="323"/>
      <c r="P26" s="435" t="s">
        <v>610</v>
      </c>
      <c r="Q26" s="435">
        <v>3.8</v>
      </c>
      <c r="R26" s="428">
        <f t="shared" si="0"/>
        <v>3.8</v>
      </c>
      <c r="S26" s="435">
        <v>3.8</v>
      </c>
      <c r="T26" s="435">
        <v>3.9</v>
      </c>
      <c r="V26" s="320" t="s">
        <v>611</v>
      </c>
      <c r="W26" s="320"/>
      <c r="X26" s="320" t="s">
        <v>589</v>
      </c>
      <c r="Y26" s="320">
        <v>56650</v>
      </c>
    </row>
    <row r="27" spans="2:25" ht="18" customHeight="1">
      <c r="B27" s="323" t="str">
        <f>[3]EB1!$B$5</f>
        <v>MIN</v>
      </c>
      <c r="D27" s="323" t="str">
        <f t="shared" si="1"/>
        <v>MINMNCWST00</v>
      </c>
      <c r="E27" s="322" t="s">
        <v>612</v>
      </c>
      <c r="F27" s="323" t="str">
        <f t="shared" si="2"/>
        <v>PJ</v>
      </c>
      <c r="G27" s="323" t="str">
        <f t="shared" si="3"/>
        <v>PJa</v>
      </c>
      <c r="P27" s="435" t="s">
        <v>613</v>
      </c>
      <c r="Q27" s="435">
        <v>1.5</v>
      </c>
      <c r="R27" s="428">
        <f t="shared" si="0"/>
        <v>1.5</v>
      </c>
      <c r="S27" s="435">
        <v>1.5</v>
      </c>
      <c r="T27" s="435">
        <v>1.6</v>
      </c>
      <c r="V27" s="320"/>
      <c r="W27" s="320"/>
      <c r="X27" s="320" t="s">
        <v>597</v>
      </c>
      <c r="Y27" s="320">
        <v>40400</v>
      </c>
    </row>
    <row r="28" spans="2:25" ht="18" customHeight="1">
      <c r="B28" s="323" t="str">
        <f>+B27</f>
        <v>MIN</v>
      </c>
      <c r="D28" s="323" t="str">
        <f t="shared" si="1"/>
        <v>MINANMMNR00</v>
      </c>
      <c r="E28" s="322" t="s">
        <v>614</v>
      </c>
      <c r="F28" s="323" t="str">
        <f t="shared" si="2"/>
        <v>PJ</v>
      </c>
      <c r="G28" s="323" t="str">
        <f t="shared" si="3"/>
        <v>PJa</v>
      </c>
      <c r="P28" s="435" t="s">
        <v>615</v>
      </c>
      <c r="Q28" s="435">
        <v>0.9</v>
      </c>
      <c r="R28" s="428">
        <f t="shared" si="0"/>
        <v>1</v>
      </c>
      <c r="S28" s="435">
        <v>1.1000000000000001</v>
      </c>
      <c r="T28" s="435">
        <v>1.2</v>
      </c>
      <c r="V28" s="320"/>
      <c r="W28" s="320"/>
      <c r="X28" s="320" t="s">
        <v>154</v>
      </c>
      <c r="Y28" s="320">
        <f>SUM(Y26:Y27)</f>
        <v>97050</v>
      </c>
    </row>
    <row r="29" spans="2:25" ht="18" customHeight="1">
      <c r="B29" s="323" t="str">
        <f>[3]EB1!$B$5</f>
        <v>MIN</v>
      </c>
      <c r="D29" s="323" t="str">
        <f t="shared" si="1"/>
        <v>MINOILWST00</v>
      </c>
      <c r="E29" s="322" t="s">
        <v>616</v>
      </c>
      <c r="F29" s="323" t="str">
        <f t="shared" si="2"/>
        <v>PJ</v>
      </c>
      <c r="G29" s="323" t="str">
        <f t="shared" si="3"/>
        <v>PJa</v>
      </c>
      <c r="H29" s="433"/>
      <c r="L29" s="428" t="s">
        <v>694</v>
      </c>
      <c r="P29" s="435" t="s">
        <v>617</v>
      </c>
      <c r="Q29" s="435">
        <v>2.8</v>
      </c>
      <c r="R29" s="428">
        <f t="shared" si="0"/>
        <v>2.8499999999999996</v>
      </c>
      <c r="S29" s="435">
        <v>2.9</v>
      </c>
      <c r="T29" s="435">
        <v>2.9</v>
      </c>
      <c r="V29" s="320"/>
      <c r="W29" s="320"/>
      <c r="X29" s="320"/>
      <c r="Y29" s="320"/>
    </row>
    <row r="30" spans="2:25" ht="18" customHeight="1">
      <c r="B30" s="323" t="str">
        <f>[3]EB1!$B$5</f>
        <v>MIN</v>
      </c>
      <c r="D30" s="323" t="str">
        <f t="shared" si="1"/>
        <v>MINOILWST01</v>
      </c>
      <c r="E30" s="322" t="s">
        <v>618</v>
      </c>
      <c r="F30" s="323" t="str">
        <f t="shared" si="2"/>
        <v>PJ</v>
      </c>
      <c r="G30" s="323" t="str">
        <f t="shared" si="3"/>
        <v>PJa</v>
      </c>
      <c r="L30" s="428" t="s">
        <v>695</v>
      </c>
      <c r="P30" s="435" t="s">
        <v>619</v>
      </c>
      <c r="Q30" s="435">
        <v>1.5</v>
      </c>
      <c r="R30" s="428">
        <f t="shared" si="0"/>
        <v>1.5</v>
      </c>
      <c r="S30" s="435">
        <v>1.5</v>
      </c>
      <c r="T30" s="435">
        <v>1.6</v>
      </c>
      <c r="V30" s="320"/>
      <c r="W30" s="320"/>
      <c r="X30" s="436" t="s">
        <v>589</v>
      </c>
      <c r="Y30" s="436">
        <f>Y26/Y28</f>
        <v>0.58371973209685724</v>
      </c>
    </row>
    <row r="31" spans="2:25" ht="18" customHeight="1">
      <c r="B31" s="323" t="str">
        <f>[3]EB1!$B$5</f>
        <v>MIN</v>
      </c>
      <c r="D31" s="323" t="str">
        <f>+B60</f>
        <v>MINWODSUPCUR00</v>
      </c>
      <c r="E31" s="323" t="s">
        <v>620</v>
      </c>
      <c r="F31" s="323" t="str">
        <f t="shared" si="2"/>
        <v>PJ</v>
      </c>
      <c r="G31" s="323" t="str">
        <f t="shared" si="3"/>
        <v>PJa</v>
      </c>
      <c r="L31" s="428" t="s">
        <v>30</v>
      </c>
      <c r="M31" s="428" t="s">
        <v>696</v>
      </c>
      <c r="N31" s="428">
        <v>2018</v>
      </c>
      <c r="P31" s="435" t="s">
        <v>621</v>
      </c>
      <c r="Q31" s="435">
        <v>0.1</v>
      </c>
      <c r="R31" s="428">
        <f t="shared" si="0"/>
        <v>0.1</v>
      </c>
      <c r="S31" s="435">
        <v>0.1</v>
      </c>
      <c r="T31" s="435">
        <v>0.1</v>
      </c>
      <c r="V31" s="320"/>
      <c r="W31" s="320"/>
      <c r="X31" s="436" t="s">
        <v>597</v>
      </c>
      <c r="Y31" s="436">
        <f>Y27/Y28</f>
        <v>0.41628026790314271</v>
      </c>
    </row>
    <row r="32" spans="2:25" ht="18" customHeight="1">
      <c r="B32" s="323" t="str">
        <f>+B31</f>
        <v>MIN</v>
      </c>
      <c r="D32" s="323" t="s">
        <v>622</v>
      </c>
      <c r="E32" s="323" t="str">
        <f>+E31</f>
        <v>Domestic supply of current wood in use</v>
      </c>
      <c r="F32" s="323" t="str">
        <f t="shared" si="2"/>
        <v>PJ</v>
      </c>
      <c r="G32" s="323" t="str">
        <f t="shared" si="3"/>
        <v>PJa</v>
      </c>
      <c r="L32" s="428" t="s">
        <v>589</v>
      </c>
      <c r="M32" s="428" t="s">
        <v>697</v>
      </c>
      <c r="N32" s="428">
        <v>40.085199119999999</v>
      </c>
      <c r="O32" s="428">
        <f>N32*0.88</f>
        <v>35.274975225600002</v>
      </c>
      <c r="P32" s="435" t="s">
        <v>623</v>
      </c>
      <c r="Q32" s="435">
        <v>0.04</v>
      </c>
      <c r="R32" s="428">
        <f t="shared" si="0"/>
        <v>0.02</v>
      </c>
      <c r="S32" s="435">
        <v>0</v>
      </c>
      <c r="T32" s="435">
        <v>0.1</v>
      </c>
      <c r="V32" s="320"/>
      <c r="W32" s="320"/>
      <c r="X32" s="320"/>
      <c r="Y32" s="320"/>
    </row>
    <row r="33" spans="1:27" ht="18" customHeight="1">
      <c r="B33" s="428" t="s">
        <v>87</v>
      </c>
      <c r="D33" s="323" t="str">
        <f>+"REF_"&amp;D7</f>
        <v>REF_WODWST</v>
      </c>
      <c r="E33" s="323" t="str">
        <f>+"Biogas production refinery from "&amp;E7</f>
        <v>Biogas production refinery from Forest residues and woody wastes</v>
      </c>
      <c r="F33" s="323" t="str">
        <f t="shared" si="2"/>
        <v>PJ</v>
      </c>
      <c r="G33" s="323" t="s">
        <v>624</v>
      </c>
      <c r="L33" s="428" t="s">
        <v>589</v>
      </c>
      <c r="M33" s="428" t="s">
        <v>698</v>
      </c>
      <c r="N33" s="428">
        <v>40.085199119999999</v>
      </c>
      <c r="O33" s="428">
        <f t="shared" ref="O33:O35" si="4">N33*0.88</f>
        <v>35.274975225600002</v>
      </c>
      <c r="P33" s="435" t="s">
        <v>625</v>
      </c>
      <c r="Q33" s="435">
        <v>0.5</v>
      </c>
      <c r="R33" s="428">
        <f t="shared" si="0"/>
        <v>0.5</v>
      </c>
      <c r="S33" s="435">
        <v>0.5</v>
      </c>
      <c r="T33" s="435">
        <v>0.6</v>
      </c>
      <c r="V33" s="320"/>
      <c r="W33" s="320"/>
      <c r="X33" s="320"/>
      <c r="Y33" s="320"/>
    </row>
    <row r="34" spans="1:27" ht="18" customHeight="1">
      <c r="B34" s="428" t="s">
        <v>87</v>
      </c>
      <c r="D34" s="323" t="str">
        <f>+"REF_"&amp;D8</f>
        <v>REF_AGRWST</v>
      </c>
      <c r="E34" s="323" t="str">
        <f>+"Biogas production refinery from "&amp;E8</f>
        <v>Biogas production refinery from Agricultural wastes (straws, stover, vegetable culls)</v>
      </c>
      <c r="F34" s="323" t="str">
        <f t="shared" si="2"/>
        <v>PJ</v>
      </c>
      <c r="G34" s="323" t="s">
        <v>624</v>
      </c>
      <c r="L34" s="428" t="s">
        <v>597</v>
      </c>
      <c r="M34" s="428" t="s">
        <v>697</v>
      </c>
      <c r="N34" s="428">
        <v>3.6183305880000001</v>
      </c>
      <c r="O34" s="428">
        <f t="shared" si="4"/>
        <v>3.1841309174400001</v>
      </c>
      <c r="P34" s="435" t="s">
        <v>626</v>
      </c>
      <c r="Q34" s="435">
        <v>0.6</v>
      </c>
      <c r="R34" s="428">
        <f t="shared" si="0"/>
        <v>0.6</v>
      </c>
      <c r="S34" s="435">
        <v>0.6</v>
      </c>
      <c r="T34" s="435">
        <v>0.7</v>
      </c>
      <c r="V34" s="320" t="s">
        <v>627</v>
      </c>
      <c r="W34" s="320"/>
      <c r="X34" s="320"/>
      <c r="Y34" s="320"/>
    </row>
    <row r="35" spans="1:27" ht="18" customHeight="1">
      <c r="B35" s="428" t="s">
        <v>474</v>
      </c>
      <c r="D35" s="323" t="str">
        <f>+"REF_"&amp;D9</f>
        <v>REF_MNCWST</v>
      </c>
      <c r="E35" s="323" t="str">
        <f>+"Biogas production refinery from "&amp;E9</f>
        <v>Biogas production refinery from Municipal solid waste</v>
      </c>
      <c r="F35" s="323" t="str">
        <f t="shared" si="2"/>
        <v>PJ</v>
      </c>
      <c r="G35" s="323" t="s">
        <v>624</v>
      </c>
      <c r="L35" s="428" t="s">
        <v>597</v>
      </c>
      <c r="M35" s="428" t="s">
        <v>698</v>
      </c>
      <c r="N35" s="428">
        <v>3.6183305880000001</v>
      </c>
      <c r="O35" s="428">
        <f t="shared" si="4"/>
        <v>3.1841309174400001</v>
      </c>
      <c r="P35" s="435" t="s">
        <v>628</v>
      </c>
      <c r="Q35" s="435">
        <v>0.2</v>
      </c>
      <c r="R35" s="428">
        <f t="shared" si="0"/>
        <v>0.2</v>
      </c>
      <c r="S35" s="435">
        <v>0.2</v>
      </c>
      <c r="T35" s="435">
        <v>0.2</v>
      </c>
      <c r="V35" s="320" t="s">
        <v>629</v>
      </c>
      <c r="W35" s="320"/>
      <c r="X35" s="320" t="s">
        <v>589</v>
      </c>
      <c r="Y35" s="320">
        <v>2.16</v>
      </c>
    </row>
    <row r="36" spans="1:27" ht="18" customHeight="1">
      <c r="B36" s="428" t="s">
        <v>87</v>
      </c>
      <c r="D36" s="323" t="str">
        <f>+"REF_"&amp;D10</f>
        <v>REF_ANMMNR</v>
      </c>
      <c r="E36" s="323" t="str">
        <f>+"Biogas production refinery from "&amp;E10</f>
        <v>Biogas production refinery from Animal manure</v>
      </c>
      <c r="F36" s="323" t="str">
        <f t="shared" si="2"/>
        <v>PJ</v>
      </c>
      <c r="G36" s="323" t="s">
        <v>624</v>
      </c>
      <c r="P36" s="435" t="s">
        <v>630</v>
      </c>
      <c r="Q36" s="435">
        <v>4.5</v>
      </c>
      <c r="R36" s="428">
        <f t="shared" si="0"/>
        <v>4.5</v>
      </c>
      <c r="S36" s="435">
        <v>4.5</v>
      </c>
      <c r="T36" s="435">
        <v>4.5</v>
      </c>
      <c r="V36" s="320"/>
      <c r="W36" s="320"/>
      <c r="X36" s="320" t="s">
        <v>597</v>
      </c>
      <c r="Y36" s="320">
        <v>0.69</v>
      </c>
    </row>
    <row r="37" spans="1:27" ht="18" customHeight="1">
      <c r="B37" s="428" t="s">
        <v>474</v>
      </c>
      <c r="D37" s="323" t="s">
        <v>631</v>
      </c>
      <c r="E37" s="323" t="s">
        <v>632</v>
      </c>
      <c r="F37" s="323" t="str">
        <f t="shared" si="2"/>
        <v>PJ</v>
      </c>
      <c r="G37" s="323" t="s">
        <v>624</v>
      </c>
      <c r="K37" s="428">
        <v>0.78427899999999995</v>
      </c>
      <c r="L37" s="428">
        <v>1.2122930000000001</v>
      </c>
      <c r="M37" s="428">
        <v>1.5635509999999999</v>
      </c>
      <c r="N37" s="428">
        <v>1.8268260000000001</v>
      </c>
      <c r="O37" s="428">
        <v>2.4743819999999999</v>
      </c>
      <c r="P37" s="435" t="s">
        <v>225</v>
      </c>
      <c r="Q37" s="435">
        <v>57.3</v>
      </c>
      <c r="R37" s="428">
        <f>SUM(R21:R36)</f>
        <v>70.369999999999976</v>
      </c>
      <c r="S37" s="435">
        <v>83.1</v>
      </c>
      <c r="T37" s="435">
        <v>90</v>
      </c>
      <c r="V37" s="320"/>
      <c r="W37" s="320"/>
      <c r="X37" s="320" t="s">
        <v>154</v>
      </c>
      <c r="Y37" s="320">
        <f>SUM(Y35:Y36)</f>
        <v>2.85</v>
      </c>
    </row>
    <row r="38" spans="1:27" ht="18" customHeight="1">
      <c r="B38" s="428" t="s">
        <v>87</v>
      </c>
      <c r="D38" s="323" t="str">
        <f>+B73</f>
        <v>CT_CWODPLT</v>
      </c>
      <c r="E38" s="323" t="s">
        <v>633</v>
      </c>
      <c r="F38" s="323" t="str">
        <f t="shared" si="2"/>
        <v>PJ</v>
      </c>
      <c r="G38" s="323" t="s">
        <v>624</v>
      </c>
      <c r="V38" s="320"/>
      <c r="W38" s="320"/>
      <c r="X38" s="320"/>
      <c r="Y38" s="320"/>
    </row>
    <row r="39" spans="1:27" ht="18" customHeight="1">
      <c r="B39" s="428" t="s">
        <v>474</v>
      </c>
      <c r="D39" s="323" t="str">
        <f t="shared" ref="D39:D40" si="5">+B74</f>
        <v>CT_CWODBDS</v>
      </c>
      <c r="E39" s="323" t="s">
        <v>634</v>
      </c>
      <c r="F39" s="323" t="str">
        <f t="shared" si="2"/>
        <v>PJ</v>
      </c>
      <c r="G39" s="323" t="s">
        <v>624</v>
      </c>
      <c r="V39" s="320"/>
      <c r="W39" s="320"/>
      <c r="X39" s="436" t="s">
        <v>589</v>
      </c>
      <c r="Y39" s="436">
        <f>Y35/Y37</f>
        <v>0.75789473684210529</v>
      </c>
    </row>
    <row r="40" spans="1:27" ht="18" customHeight="1">
      <c r="B40" s="428" t="s">
        <v>87</v>
      </c>
      <c r="D40" s="323" t="str">
        <f t="shared" si="5"/>
        <v>CT_CWODETH</v>
      </c>
      <c r="E40" s="323" t="s">
        <v>635</v>
      </c>
      <c r="F40" s="323" t="str">
        <f t="shared" si="2"/>
        <v>PJ</v>
      </c>
      <c r="G40" s="323" t="s">
        <v>624</v>
      </c>
      <c r="V40" s="320"/>
      <c r="W40" s="320"/>
      <c r="X40" s="436" t="s">
        <v>597</v>
      </c>
      <c r="Y40" s="436">
        <f>Y36/Y37</f>
        <v>0.24210526315789471</v>
      </c>
    </row>
    <row r="41" spans="1:27" ht="18" customHeight="1">
      <c r="B41" s="428" t="s">
        <v>87</v>
      </c>
      <c r="D41" s="428" t="s">
        <v>636</v>
      </c>
      <c r="E41" s="323" t="s">
        <v>637</v>
      </c>
      <c r="F41" s="323" t="str">
        <f t="shared" si="2"/>
        <v>PJ</v>
      </c>
      <c r="G41" s="323" t="s">
        <v>624</v>
      </c>
      <c r="O41" s="428">
        <f>3.656+2.27</f>
        <v>5.9260000000000002</v>
      </c>
      <c r="V41" s="320"/>
      <c r="W41" s="320"/>
      <c r="X41" s="436"/>
      <c r="Y41" s="436"/>
    </row>
    <row r="42" spans="1:27" ht="18" customHeight="1">
      <c r="B42" s="428" t="s">
        <v>87</v>
      </c>
      <c r="D42" s="428" t="s">
        <v>638</v>
      </c>
      <c r="E42" s="323" t="s">
        <v>639</v>
      </c>
      <c r="F42" s="323" t="str">
        <f t="shared" si="2"/>
        <v>PJ</v>
      </c>
      <c r="G42" s="323" t="s">
        <v>624</v>
      </c>
      <c r="V42" s="320"/>
      <c r="W42" s="320"/>
      <c r="X42" s="436"/>
      <c r="Y42" s="436"/>
    </row>
    <row r="43" spans="1:27" ht="18" customHeight="1">
      <c r="B43" s="428" t="s">
        <v>87</v>
      </c>
      <c r="D43" s="323" t="s">
        <v>640</v>
      </c>
      <c r="E43" s="323" t="s">
        <v>641</v>
      </c>
      <c r="F43" s="323" t="str">
        <f t="shared" si="2"/>
        <v>PJ</v>
      </c>
      <c r="G43" s="323" t="str">
        <f t="shared" ref="G43" si="6">$F$7&amp;"a"</f>
        <v>PJa</v>
      </c>
      <c r="V43" s="320"/>
      <c r="W43" s="320"/>
      <c r="X43" s="320"/>
      <c r="Y43" s="320"/>
    </row>
    <row r="44" spans="1:27" ht="18" customHeight="1">
      <c r="B44" s="428" t="s">
        <v>58</v>
      </c>
      <c r="D44" s="323" t="s">
        <v>688</v>
      </c>
      <c r="E44" s="323" t="s">
        <v>691</v>
      </c>
      <c r="F44" s="323" t="s">
        <v>69</v>
      </c>
      <c r="G44" s="323" t="s">
        <v>692</v>
      </c>
      <c r="V44" s="320"/>
      <c r="W44" s="320"/>
      <c r="X44" s="320"/>
      <c r="Y44" s="320"/>
    </row>
    <row r="45" spans="1:27" ht="18" customHeight="1">
      <c r="B45" s="428" t="s">
        <v>58</v>
      </c>
      <c r="D45" s="323" t="s">
        <v>651</v>
      </c>
      <c r="E45" s="323" t="s">
        <v>703</v>
      </c>
      <c r="F45" s="323" t="s">
        <v>69</v>
      </c>
      <c r="G45" s="323" t="s">
        <v>692</v>
      </c>
      <c r="V45" s="320"/>
      <c r="W45" s="320"/>
      <c r="X45" s="320"/>
      <c r="Y45" s="320"/>
    </row>
    <row r="46" spans="1:27" ht="18" customHeight="1">
      <c r="V46" s="320" t="s">
        <v>642</v>
      </c>
      <c r="W46" s="320"/>
      <c r="X46" s="320"/>
      <c r="Y46" s="320"/>
    </row>
    <row r="47" spans="1:27" ht="18" customHeight="1">
      <c r="B47" s="322"/>
      <c r="C47" s="322"/>
      <c r="D47" s="324" t="s">
        <v>13</v>
      </c>
      <c r="F47" s="324"/>
      <c r="G47" s="322"/>
      <c r="H47" s="322"/>
      <c r="I47" s="322"/>
      <c r="J47" s="322"/>
      <c r="K47" s="322"/>
      <c r="L47" s="322"/>
      <c r="M47" s="322"/>
      <c r="N47" s="322"/>
      <c r="O47" s="322"/>
      <c r="P47" s="322"/>
      <c r="W47" s="320" t="s">
        <v>585</v>
      </c>
      <c r="X47" s="320"/>
      <c r="Y47" s="320" t="s">
        <v>589</v>
      </c>
      <c r="Z47" s="320">
        <f>0.94+0.07+0.313</f>
        <v>1.323</v>
      </c>
    </row>
    <row r="48" spans="1:27"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X48" s="320"/>
      <c r="Y48" s="320"/>
      <c r="Z48" s="320" t="s">
        <v>597</v>
      </c>
      <c r="AA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X49" s="320"/>
      <c r="Y49" s="320"/>
      <c r="Z49" s="320" t="s">
        <v>154</v>
      </c>
      <c r="AA49" s="320">
        <f>SUM(Z47:Z48)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T50" s="438" t="s">
        <v>649</v>
      </c>
      <c r="X50" s="320"/>
      <c r="Y50" s="320"/>
      <c r="Z50" s="320"/>
      <c r="AA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V51" s="320"/>
      <c r="W51" s="320"/>
      <c r="X51" s="436" t="s">
        <v>589</v>
      </c>
      <c r="Y51" s="436">
        <f>Z47/AA49</f>
        <v>1</v>
      </c>
    </row>
    <row r="52" spans="1:41" ht="18" customHeight="1">
      <c r="A52" s="320"/>
      <c r="B52" s="323" t="str">
        <f>D45</f>
        <v>MINWODWST01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V52" s="320"/>
      <c r="W52" s="320"/>
      <c r="X52" s="436"/>
      <c r="Y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V53" s="320"/>
      <c r="W53" s="320"/>
      <c r="X53" s="436" t="s">
        <v>597</v>
      </c>
      <c r="Y53" s="436">
        <f>AA48/AA49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V55" s="320" t="s">
        <v>654</v>
      </c>
      <c r="W55" s="320"/>
      <c r="X55" s="320"/>
      <c r="Y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V56" s="320" t="s">
        <v>587</v>
      </c>
      <c r="W56" s="320"/>
      <c r="X56" s="320" t="s">
        <v>589</v>
      </c>
      <c r="Y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V57" s="320"/>
      <c r="W57" s="320"/>
      <c r="X57" s="320" t="s">
        <v>597</v>
      </c>
      <c r="Y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V58" s="320"/>
      <c r="W58" s="320"/>
      <c r="X58" s="320" t="s">
        <v>154</v>
      </c>
      <c r="Y58" s="320">
        <f>SUM(Y56:Y57)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V59" s="320"/>
      <c r="W59" s="320"/>
      <c r="X59" s="320"/>
      <c r="Y59" s="320"/>
    </row>
    <row r="60" spans="1:41" ht="18" customHeight="1">
      <c r="B60" s="323" t="s">
        <v>658</v>
      </c>
      <c r="C60" s="322"/>
      <c r="D60" s="322" t="s">
        <v>182</v>
      </c>
      <c r="E60" s="439"/>
      <c r="F60" s="441">
        <f>F52/3</f>
        <v>3.6033333333333335</v>
      </c>
      <c r="G60" s="439"/>
      <c r="H60" s="439"/>
      <c r="I60" s="439"/>
      <c r="K60" s="440"/>
      <c r="L60" s="525">
        <v>4</v>
      </c>
      <c r="M60" s="440"/>
      <c r="R60" s="428">
        <v>5</v>
      </c>
      <c r="V60" s="320"/>
      <c r="W60" s="320"/>
      <c r="X60" s="436" t="s">
        <v>589</v>
      </c>
      <c r="Y60" s="436">
        <f>Y56/Y58</f>
        <v>0.6260162601626017</v>
      </c>
    </row>
    <row r="61" spans="1:41" ht="18" customHeight="1">
      <c r="B61" s="323" t="s">
        <v>688</v>
      </c>
      <c r="C61" s="322"/>
      <c r="D61" s="322" t="s">
        <v>689</v>
      </c>
      <c r="F61" s="439">
        <v>5</v>
      </c>
      <c r="K61" s="440"/>
      <c r="L61" s="440">
        <v>0</v>
      </c>
      <c r="M61" s="439">
        <f>$L$61+K37</f>
        <v>0.78427899999999995</v>
      </c>
      <c r="N61" s="439">
        <f t="shared" ref="N61:Q61" si="7">$L$61+L37</f>
        <v>1.2122930000000001</v>
      </c>
      <c r="O61" s="439">
        <f t="shared" si="7"/>
        <v>1.5635509999999999</v>
      </c>
      <c r="P61" s="439">
        <f t="shared" si="7"/>
        <v>1.8268260000000001</v>
      </c>
      <c r="Q61" s="439">
        <f t="shared" si="7"/>
        <v>2.4743819999999999</v>
      </c>
      <c r="R61" s="428">
        <v>5</v>
      </c>
      <c r="V61" s="320"/>
      <c r="W61" s="320"/>
      <c r="X61" s="436" t="s">
        <v>597</v>
      </c>
      <c r="Y61" s="436">
        <f>Y57/Y58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8">+M66*5%</f>
        <v>74.5</v>
      </c>
      <c r="U66" s="458">
        <f t="shared" si="8"/>
        <v>74.5</v>
      </c>
      <c r="V66" s="458">
        <f t="shared" si="8"/>
        <v>74.5</v>
      </c>
      <c r="W66" s="458">
        <f t="shared" si="8"/>
        <v>74.5</v>
      </c>
      <c r="X66" s="458">
        <f t="shared" si="8"/>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9">+L67*5%</f>
        <v>89.4</v>
      </c>
      <c r="T67" s="458">
        <f t="shared" si="8"/>
        <v>89.4</v>
      </c>
      <c r="U67" s="458">
        <f t="shared" si="8"/>
        <v>89.4</v>
      </c>
      <c r="V67" s="458">
        <f t="shared" si="8"/>
        <v>89.4</v>
      </c>
      <c r="W67" s="458">
        <f t="shared" si="8"/>
        <v>89.4</v>
      </c>
      <c r="X67" s="458">
        <f t="shared" si="8"/>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9"/>
        <v>73.754999999999995</v>
      </c>
      <c r="T68" s="458">
        <f t="shared" si="8"/>
        <v>72.264999999999986</v>
      </c>
      <c r="U68" s="458">
        <f t="shared" si="8"/>
        <v>70.775000000000006</v>
      </c>
      <c r="V68" s="458">
        <f t="shared" si="8"/>
        <v>70.775000000000006</v>
      </c>
      <c r="W68" s="458">
        <f t="shared" si="8"/>
        <v>70.775000000000006</v>
      </c>
      <c r="X68" s="458">
        <f t="shared" si="8"/>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9"/>
        <v>104.30000000000001</v>
      </c>
      <c r="T69" s="458">
        <f t="shared" si="8"/>
        <v>96.850000000000009</v>
      </c>
      <c r="U69" s="458">
        <f t="shared" si="8"/>
        <v>89.4</v>
      </c>
      <c r="V69" s="458">
        <f t="shared" si="8"/>
        <v>81.95</v>
      </c>
      <c r="W69" s="458">
        <f t="shared" si="8"/>
        <v>74.5</v>
      </c>
      <c r="X69" s="458">
        <f t="shared" si="8"/>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10">+M73*5%</f>
        <v>52.150000000000006</v>
      </c>
      <c r="U73" s="458">
        <f t="shared" si="10"/>
        <v>52.150000000000006</v>
      </c>
      <c r="V73" s="458">
        <f t="shared" si="10"/>
        <v>52.150000000000006</v>
      </c>
      <c r="W73" s="458">
        <f t="shared" si="10"/>
        <v>52.150000000000006</v>
      </c>
      <c r="X73" s="458">
        <f t="shared" si="10"/>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1">+L74*5%</f>
        <v>163.9</v>
      </c>
      <c r="T74" s="458">
        <f t="shared" si="10"/>
        <v>163.9</v>
      </c>
      <c r="U74" s="458">
        <f t="shared" si="10"/>
        <v>163.9</v>
      </c>
      <c r="V74" s="458">
        <f t="shared" si="10"/>
        <v>163.9</v>
      </c>
      <c r="W74" s="458">
        <f t="shared" si="10"/>
        <v>163.9</v>
      </c>
      <c r="X74" s="458">
        <f t="shared" si="10"/>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1"/>
        <v>149.01841573033707</v>
      </c>
      <c r="T75" s="458">
        <f t="shared" si="10"/>
        <v>149.01841573033707</v>
      </c>
      <c r="U75" s="458">
        <f t="shared" si="10"/>
        <v>149.01841573033707</v>
      </c>
      <c r="V75" s="458">
        <f t="shared" si="10"/>
        <v>149.01841573033707</v>
      </c>
      <c r="W75" s="458">
        <f t="shared" si="10"/>
        <v>149.01841573033707</v>
      </c>
      <c r="X75" s="458">
        <f t="shared" si="10"/>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2">+F73</f>
        <v>0.84000000000000008</v>
      </c>
      <c r="G76" s="462">
        <f t="shared" si="12"/>
        <v>0.84000000000000008</v>
      </c>
      <c r="H76" s="462">
        <f t="shared" si="12"/>
        <v>0.84000000000000008</v>
      </c>
      <c r="I76" s="462">
        <f t="shared" si="12"/>
        <v>0.84000000000000008</v>
      </c>
      <c r="J76" s="462">
        <f t="shared" si="12"/>
        <v>0.84000000000000008</v>
      </c>
      <c r="K76" s="456">
        <v>3</v>
      </c>
      <c r="L76" s="457">
        <v>3278</v>
      </c>
      <c r="M76" s="457">
        <v>3278</v>
      </c>
      <c r="N76" s="457">
        <v>3278</v>
      </c>
      <c r="O76" s="457">
        <v>3278</v>
      </c>
      <c r="P76" s="457">
        <v>3278</v>
      </c>
      <c r="Q76" s="457">
        <v>3278</v>
      </c>
      <c r="R76" s="457">
        <v>3</v>
      </c>
      <c r="S76" s="458">
        <f t="shared" si="11"/>
        <v>163.9</v>
      </c>
      <c r="T76" s="458">
        <f t="shared" si="10"/>
        <v>163.9</v>
      </c>
      <c r="U76" s="458">
        <f t="shared" si="10"/>
        <v>163.9</v>
      </c>
      <c r="V76" s="458">
        <f t="shared" si="10"/>
        <v>163.9</v>
      </c>
      <c r="W76" s="458">
        <f t="shared" si="10"/>
        <v>163.9</v>
      </c>
      <c r="X76" s="458">
        <f t="shared" si="10"/>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tabSelected="1" workbookViewId="0">
      <selection activeCell="F33" sqref="F33"/>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c r="C12" s="103" t="s">
        <v>87</v>
      </c>
      <c r="D12" s="103"/>
      <c r="E12" s="103" t="str">
        <f>C21</f>
        <v>SUP_ELCH2</v>
      </c>
      <c r="F12" s="115" t="str">
        <f>D21</f>
        <v>H2 production from electrolysis</v>
      </c>
      <c r="G12" s="103" t="s">
        <v>69</v>
      </c>
      <c r="H12" s="103" t="s">
        <v>430</v>
      </c>
      <c r="I12" s="103" t="s">
        <v>92</v>
      </c>
      <c r="J12" s="103"/>
      <c r="K12" s="103"/>
    </row>
    <row r="14" spans="3:14">
      <c r="C14" s="103"/>
      <c r="G14" s="103"/>
      <c r="H14" s="103"/>
      <c r="I14" s="103"/>
    </row>
    <row r="15" spans="3:14">
      <c r="C15" s="103"/>
      <c r="G15" s="103"/>
      <c r="H15" s="103"/>
      <c r="N15" t="s">
        <v>471</v>
      </c>
    </row>
    <row r="16" spans="3:14">
      <c r="C16" s="103"/>
      <c r="G16" s="103"/>
      <c r="H16" s="103"/>
    </row>
    <row r="18" spans="3:51">
      <c r="F18" s="341"/>
    </row>
    <row r="19" spans="3:51" ht="22.5">
      <c r="C19" s="339" t="s">
        <v>1</v>
      </c>
      <c r="D19" s="339" t="s">
        <v>429</v>
      </c>
      <c r="E19" s="348" t="s">
        <v>5</v>
      </c>
      <c r="F19" s="348" t="s">
        <v>6</v>
      </c>
      <c r="G19" s="348" t="s">
        <v>74</v>
      </c>
      <c r="H19" s="348" t="s">
        <v>476</v>
      </c>
      <c r="I19" s="348" t="s">
        <v>383</v>
      </c>
      <c r="J19" s="348" t="s">
        <v>384</v>
      </c>
      <c r="K19" s="348" t="s">
        <v>385</v>
      </c>
      <c r="L19" s="348" t="s">
        <v>433</v>
      </c>
      <c r="M19" s="348" t="s">
        <v>386</v>
      </c>
      <c r="N19" s="348" t="s">
        <v>387</v>
      </c>
      <c r="O19" s="348" t="s">
        <v>481</v>
      </c>
      <c r="P19" s="348" t="s">
        <v>482</v>
      </c>
      <c r="Q19" s="348" t="s">
        <v>388</v>
      </c>
      <c r="R19" s="348" t="s">
        <v>389</v>
      </c>
      <c r="S19" s="348" t="s">
        <v>434</v>
      </c>
      <c r="T19" s="348" t="s">
        <v>390</v>
      </c>
      <c r="U19" s="348" t="s">
        <v>391</v>
      </c>
      <c r="V19" s="348" t="s">
        <v>480</v>
      </c>
      <c r="W19" s="348" t="s">
        <v>483</v>
      </c>
      <c r="X19" s="348" t="s">
        <v>392</v>
      </c>
      <c r="Y19" s="348" t="s">
        <v>393</v>
      </c>
      <c r="Z19" s="348" t="s">
        <v>435</v>
      </c>
      <c r="AA19" s="348" t="s">
        <v>394</v>
      </c>
      <c r="AB19" s="348" t="s">
        <v>395</v>
      </c>
      <c r="AC19" s="348" t="s">
        <v>479</v>
      </c>
      <c r="AD19" s="348" t="s">
        <v>396</v>
      </c>
      <c r="AE19" s="348" t="s">
        <v>397</v>
      </c>
      <c r="AF19" s="348" t="s">
        <v>398</v>
      </c>
      <c r="AG19" s="348" t="s">
        <v>436</v>
      </c>
      <c r="AH19" s="348" t="s">
        <v>399</v>
      </c>
      <c r="AI19" s="348" t="s">
        <v>400</v>
      </c>
      <c r="AJ19" s="348" t="s">
        <v>401</v>
      </c>
      <c r="AK19" s="354" t="s">
        <v>472</v>
      </c>
      <c r="AL19" s="357" t="s">
        <v>402</v>
      </c>
      <c r="AM19" s="350" t="s">
        <v>403</v>
      </c>
      <c r="AN19" s="350" t="s">
        <v>428</v>
      </c>
      <c r="AO19" s="350" t="s">
        <v>404</v>
      </c>
      <c r="AP19" s="355" t="s">
        <v>405</v>
      </c>
      <c r="AQ19" s="357" t="s">
        <v>406</v>
      </c>
      <c r="AR19" s="342"/>
      <c r="AS19" s="350" t="s">
        <v>407</v>
      </c>
      <c r="AT19" s="350" t="s">
        <v>408</v>
      </c>
      <c r="AU19" s="350" t="s">
        <v>409</v>
      </c>
      <c r="AV19" s="350" t="s">
        <v>477</v>
      </c>
      <c r="AW19" s="350" t="s">
        <v>410</v>
      </c>
      <c r="AX19" s="350" t="s">
        <v>411</v>
      </c>
      <c r="AY19" s="350" t="s">
        <v>412</v>
      </c>
    </row>
    <row r="20" spans="3:51" ht="57" thickBot="1">
      <c r="C20" s="340" t="s">
        <v>39</v>
      </c>
      <c r="D20" s="340" t="s">
        <v>22</v>
      </c>
      <c r="E20" s="343" t="s">
        <v>32</v>
      </c>
      <c r="F20" s="343" t="s">
        <v>33</v>
      </c>
      <c r="G20" s="343" t="s">
        <v>76</v>
      </c>
      <c r="H20" s="343" t="s">
        <v>76</v>
      </c>
      <c r="I20" s="343" t="s">
        <v>76</v>
      </c>
      <c r="J20" s="343" t="s">
        <v>76</v>
      </c>
      <c r="K20" s="343" t="s">
        <v>76</v>
      </c>
      <c r="L20" s="343" t="s">
        <v>76</v>
      </c>
      <c r="M20" s="343" t="s">
        <v>413</v>
      </c>
      <c r="N20" s="343" t="s">
        <v>468</v>
      </c>
      <c r="O20" s="343" t="s">
        <v>468</v>
      </c>
      <c r="P20" s="343" t="s">
        <v>468</v>
      </c>
      <c r="Q20" s="343" t="s">
        <v>468</v>
      </c>
      <c r="R20" s="343" t="s">
        <v>468</v>
      </c>
      <c r="S20" s="343" t="s">
        <v>468</v>
      </c>
      <c r="T20" s="343" t="s">
        <v>414</v>
      </c>
      <c r="U20" s="343" t="s">
        <v>469</v>
      </c>
      <c r="V20" s="343" t="s">
        <v>469</v>
      </c>
      <c r="W20" s="408" t="s">
        <v>469</v>
      </c>
      <c r="X20" s="343" t="s">
        <v>469</v>
      </c>
      <c r="Y20" s="343" t="s">
        <v>469</v>
      </c>
      <c r="Z20" s="343" t="s">
        <v>469</v>
      </c>
      <c r="AA20" s="343" t="s">
        <v>415</v>
      </c>
      <c r="AB20" s="343" t="s">
        <v>470</v>
      </c>
      <c r="AC20" s="343" t="s">
        <v>470</v>
      </c>
      <c r="AD20" s="343" t="s">
        <v>470</v>
      </c>
      <c r="AE20" s="343" t="s">
        <v>470</v>
      </c>
      <c r="AF20" s="343" t="s">
        <v>470</v>
      </c>
      <c r="AG20" s="343" t="s">
        <v>470</v>
      </c>
      <c r="AH20" s="343" t="s">
        <v>416</v>
      </c>
      <c r="AI20" s="343" t="s">
        <v>417</v>
      </c>
      <c r="AJ20" s="343" t="s">
        <v>418</v>
      </c>
      <c r="AK20" s="343" t="s">
        <v>419</v>
      </c>
      <c r="AL20" s="358" t="s">
        <v>420</v>
      </c>
      <c r="AM20" s="343" t="s">
        <v>421</v>
      </c>
      <c r="AN20" s="343" t="s">
        <v>421</v>
      </c>
      <c r="AO20" s="343" t="s">
        <v>421</v>
      </c>
      <c r="AP20" s="356" t="s">
        <v>422</v>
      </c>
      <c r="AQ20" s="358" t="s">
        <v>423</v>
      </c>
      <c r="AR20" s="343"/>
      <c r="AS20" s="343" t="s">
        <v>421</v>
      </c>
      <c r="AT20" s="343" t="s">
        <v>421</v>
      </c>
      <c r="AU20" s="343" t="s">
        <v>421</v>
      </c>
      <c r="AV20" s="343" t="s">
        <v>424</v>
      </c>
      <c r="AW20" s="343" t="s">
        <v>424</v>
      </c>
      <c r="AX20" s="343" t="s">
        <v>424</v>
      </c>
      <c r="AY20" s="343" t="s">
        <v>424</v>
      </c>
    </row>
    <row r="21" spans="3:51" ht="15">
      <c r="C21" s="344" t="s">
        <v>425</v>
      </c>
      <c r="D21" s="344" t="s">
        <v>431</v>
      </c>
      <c r="E21" s="345" t="s">
        <v>426</v>
      </c>
      <c r="F21" s="345" t="s">
        <v>437</v>
      </c>
      <c r="G21" s="347">
        <v>0.7</v>
      </c>
      <c r="H21" s="347">
        <v>0.7016933426119224</v>
      </c>
      <c r="I21" s="347">
        <v>0.75192642306736313</v>
      </c>
      <c r="J21" s="347">
        <v>0.75192642306736313</v>
      </c>
      <c r="K21" s="347">
        <v>0.75192642306736313</v>
      </c>
      <c r="L21" s="347">
        <v>0.75192642306736313</v>
      </c>
      <c r="M21" s="351">
        <v>3</v>
      </c>
      <c r="N21" s="362">
        <v>3039.4496268493158</v>
      </c>
      <c r="O21" s="362">
        <v>1156.72</v>
      </c>
      <c r="P21" s="362">
        <v>867.54</v>
      </c>
      <c r="Q21" s="362"/>
      <c r="R21" s="362">
        <v>650.65499999999997</v>
      </c>
      <c r="S21" s="362"/>
      <c r="T21" s="346">
        <v>3</v>
      </c>
      <c r="U21" s="352">
        <v>17.3508</v>
      </c>
      <c r="V21" s="352">
        <v>17.3508</v>
      </c>
      <c r="W21" s="352">
        <v>17.3508</v>
      </c>
      <c r="X21" s="352"/>
      <c r="Y21" s="352">
        <v>17.3508</v>
      </c>
      <c r="Z21" s="352"/>
      <c r="AA21" s="346"/>
      <c r="AB21" s="352">
        <v>0</v>
      </c>
      <c r="AC21" s="352">
        <v>0</v>
      </c>
      <c r="AD21" s="352">
        <v>0</v>
      </c>
      <c r="AE21" s="352">
        <v>0</v>
      </c>
      <c r="AF21" s="352">
        <v>0</v>
      </c>
      <c r="AG21" s="352">
        <v>0</v>
      </c>
      <c r="AH21" s="346">
        <v>3</v>
      </c>
      <c r="AI21" s="347">
        <v>0.9</v>
      </c>
      <c r="AJ21" s="346">
        <v>20</v>
      </c>
      <c r="AK21" s="346"/>
      <c r="AL21" s="359"/>
      <c r="AM21" s="349"/>
      <c r="AN21" s="349"/>
      <c r="AO21" s="349"/>
      <c r="AP21" s="361">
        <v>2.5000000000000001E-2</v>
      </c>
      <c r="AQ21" s="360">
        <v>31.536000000000001</v>
      </c>
      <c r="AR21" s="353"/>
      <c r="AS21" s="349"/>
      <c r="AT21" s="349"/>
      <c r="AU21" s="349"/>
      <c r="AV21" s="344"/>
      <c r="AW21" s="344"/>
      <c r="AX21" s="344"/>
      <c r="AY21" s="344"/>
    </row>
    <row r="22" spans="3:51" ht="15">
      <c r="C22" s="344"/>
      <c r="D22" s="344"/>
      <c r="E22" s="345" t="s">
        <v>466</v>
      </c>
      <c r="F22" s="345"/>
      <c r="G22" s="347"/>
      <c r="H22" s="347"/>
      <c r="I22" s="347"/>
      <c r="J22" s="347"/>
      <c r="K22" s="347"/>
      <c r="L22" s="347"/>
      <c r="M22" s="351"/>
      <c r="N22" s="362"/>
      <c r="O22" s="362"/>
      <c r="P22" s="362"/>
      <c r="Q22" s="362"/>
      <c r="R22" s="362"/>
      <c r="S22" s="362"/>
      <c r="T22" s="346"/>
      <c r="U22" s="352"/>
      <c r="V22" s="352"/>
      <c r="W22" s="352"/>
      <c r="X22" s="352"/>
      <c r="Y22" s="352"/>
      <c r="Z22" s="352"/>
      <c r="AA22" s="346"/>
      <c r="AB22" s="352"/>
      <c r="AC22" s="352"/>
      <c r="AD22" s="352"/>
      <c r="AE22" s="352"/>
      <c r="AF22" s="352"/>
      <c r="AG22" s="352"/>
      <c r="AH22" s="346"/>
      <c r="AI22" s="347"/>
      <c r="AJ22" s="346"/>
      <c r="AK22" s="346"/>
      <c r="AL22" s="359"/>
      <c r="AM22" s="349"/>
      <c r="AN22" s="349"/>
      <c r="AO22" s="349"/>
      <c r="AP22" s="361"/>
      <c r="AQ22" s="360"/>
      <c r="AR22" s="353"/>
      <c r="AS22" s="349"/>
      <c r="AT22" s="349"/>
      <c r="AU22" s="349"/>
      <c r="AV22" s="344"/>
      <c r="AW22" s="344"/>
      <c r="AX22" s="344"/>
      <c r="AY22"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cp:lastPrinted>2004-11-16T14:57:57Z</cp:lastPrinted>
  <dcterms:created xsi:type="dcterms:W3CDTF">2000-12-13T15:53:11Z</dcterms:created>
  <dcterms:modified xsi:type="dcterms:W3CDTF">2024-03-01T01:24:28Z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