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F19E8B17-C0C8-41CA-B632-1329DE5D6BC3}" xr6:coauthVersionLast="47" xr6:coauthVersionMax="47" xr10:uidLastSave="{00000000-0000-0000-0000-000000000000}"/>
  <bookViews>
    <workbookView xWindow="-120" yWindow="-120" windowWidth="29040" windowHeight="17790" tabRatio="694" activeTab="3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Demand" sheetId="158" r:id="rId5"/>
    <sheet name="Emi" sheetId="149" r:id="rId6"/>
  </sheets>
  <externalReferences>
    <externalReference r:id="rId7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40" l="1"/>
  <c r="C33" i="140" s="1"/>
  <c r="E47" i="140"/>
  <c r="D47" i="140"/>
  <c r="B33" i="140" s="1"/>
  <c r="P50" i="156"/>
  <c r="P48" i="156"/>
  <c r="P42" i="156"/>
  <c r="P36" i="156"/>
  <c r="E11" i="156"/>
  <c r="E13" i="156"/>
  <c r="K36" i="157"/>
  <c r="Q9" i="157"/>
  <c r="F9" i="157" l="1"/>
  <c r="E9" i="156" s="1"/>
  <c r="F10" i="157"/>
  <c r="E10" i="156" s="1"/>
  <c r="F12" i="157"/>
  <c r="E12" i="156" s="1"/>
  <c r="F14" i="157"/>
  <c r="E14" i="156" s="1"/>
  <c r="F15" i="157"/>
  <c r="E15" i="156" s="1"/>
  <c r="F16" i="157"/>
  <c r="E16" i="156" s="1"/>
  <c r="F17" i="157"/>
  <c r="E17" i="156" s="1"/>
  <c r="F18" i="157"/>
  <c r="E18" i="156" s="1"/>
  <c r="F19" i="157"/>
  <c r="E19" i="156" s="1"/>
  <c r="F20" i="157"/>
  <c r="E20" i="156" s="1"/>
  <c r="F21" i="157"/>
  <c r="E21" i="156" s="1"/>
  <c r="F22" i="157"/>
  <c r="E22" i="156" s="1"/>
  <c r="F23" i="157"/>
  <c r="E23" i="156" s="1"/>
  <c r="F24" i="157"/>
  <c r="E24" i="156" s="1"/>
  <c r="F25" i="157"/>
  <c r="E25" i="156" s="1"/>
  <c r="F26" i="157"/>
  <c r="E26" i="156" s="1"/>
  <c r="F27" i="157"/>
  <c r="E27" i="156" s="1"/>
  <c r="F28" i="157"/>
  <c r="E28" i="156" s="1"/>
  <c r="F29" i="157"/>
  <c r="E29" i="156" s="1"/>
  <c r="F30" i="157"/>
  <c r="E30" i="156" s="1"/>
  <c r="F31" i="157"/>
  <c r="E31" i="156" s="1"/>
  <c r="F32" i="157"/>
  <c r="E32" i="156" s="1"/>
  <c r="F33" i="157"/>
  <c r="E33" i="156" s="1"/>
  <c r="F34" i="157"/>
  <c r="E34" i="156" s="1"/>
  <c r="E35" i="156"/>
  <c r="F37" i="157"/>
  <c r="E36" i="156" s="1"/>
  <c r="F38" i="157"/>
  <c r="E37" i="156" s="1"/>
  <c r="F39" i="157"/>
  <c r="E38" i="156" s="1"/>
  <c r="F40" i="157"/>
  <c r="E39" i="156" s="1"/>
  <c r="E40" i="156"/>
  <c r="F43" i="157"/>
  <c r="E41" i="156" s="1"/>
  <c r="F44" i="157"/>
  <c r="E42" i="156" s="1"/>
  <c r="F45" i="157"/>
  <c r="E43" i="156" s="1"/>
  <c r="F46" i="157"/>
  <c r="E44" i="156" s="1"/>
  <c r="E45" i="156"/>
  <c r="E46" i="156"/>
  <c r="F51" i="157"/>
  <c r="E47" i="156" s="1"/>
  <c r="F52" i="157"/>
  <c r="E48" i="156" s="1"/>
  <c r="F54" i="157"/>
  <c r="E49" i="156" s="1"/>
  <c r="F8" i="157"/>
  <c r="E8" i="156" s="1"/>
  <c r="C8" i="158" l="1"/>
  <c r="D8" i="158" s="1"/>
  <c r="C9" i="158"/>
  <c r="D9" i="158" s="1"/>
  <c r="C10" i="158"/>
  <c r="D10" i="158" s="1"/>
  <c r="C11" i="158"/>
  <c r="D11" i="158" s="1"/>
  <c r="C12" i="158"/>
  <c r="D12" i="158" s="1"/>
  <c r="C13" i="158"/>
  <c r="D13" i="158" s="1"/>
  <c r="C14" i="158"/>
  <c r="D14" i="158" s="1"/>
  <c r="C15" i="158"/>
  <c r="D15" i="158" s="1"/>
  <c r="C16" i="158"/>
  <c r="D16" i="158" s="1"/>
  <c r="C17" i="158"/>
  <c r="D17" i="158" s="1"/>
  <c r="C18" i="158"/>
  <c r="D18" i="158" s="1"/>
  <c r="C19" i="158"/>
  <c r="D19" i="158" s="1"/>
  <c r="C20" i="158"/>
  <c r="D20" i="158" s="1"/>
  <c r="C21" i="158"/>
  <c r="D21" i="158" s="1"/>
  <c r="C22" i="158"/>
  <c r="D22" i="158" s="1"/>
  <c r="C23" i="158"/>
  <c r="D23" i="158" s="1"/>
  <c r="C24" i="158"/>
  <c r="D24" i="158" s="1"/>
  <c r="C25" i="158"/>
  <c r="D25" i="158" s="1"/>
  <c r="C26" i="158"/>
  <c r="D26" i="158" s="1"/>
  <c r="C27" i="158"/>
  <c r="D27" i="158" s="1"/>
  <c r="C28" i="158"/>
  <c r="D28" i="158" s="1"/>
  <c r="C29" i="158"/>
  <c r="D29" i="158" s="1"/>
  <c r="C30" i="158"/>
  <c r="D30" i="158" s="1"/>
  <c r="C31" i="158"/>
  <c r="D31" i="158" s="1"/>
  <c r="C32" i="158"/>
  <c r="D32" i="158" s="1"/>
  <c r="C33" i="158"/>
  <c r="D33" i="158" s="1"/>
  <c r="C34" i="158"/>
  <c r="D34" i="158" s="1"/>
  <c r="C35" i="158"/>
  <c r="D35" i="158" s="1"/>
  <c r="C36" i="158"/>
  <c r="D36" i="158" s="1"/>
  <c r="C37" i="158"/>
  <c r="D37" i="158" s="1"/>
  <c r="C38" i="158"/>
  <c r="D38" i="158" s="1"/>
  <c r="C39" i="158"/>
  <c r="D39" i="158" s="1"/>
  <c r="C40" i="158"/>
  <c r="D40" i="158" s="1"/>
  <c r="C41" i="158"/>
  <c r="D41" i="158" s="1"/>
  <c r="C42" i="158"/>
  <c r="D42" i="158" s="1"/>
  <c r="C7" i="158"/>
  <c r="D7" i="158" s="1"/>
  <c r="Q10" i="157" l="1"/>
  <c r="Q11" i="157"/>
  <c r="Q12" i="157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7" i="157"/>
  <c r="Q38" i="157"/>
  <c r="Q39" i="157"/>
  <c r="Q40" i="157"/>
  <c r="Q41" i="157"/>
  <c r="Q43" i="157"/>
  <c r="Q44" i="157"/>
  <c r="Q45" i="157"/>
  <c r="Q46" i="157"/>
  <c r="Q47" i="157"/>
  <c r="Q49" i="157"/>
  <c r="Q52" i="157"/>
  <c r="Q53" i="157"/>
  <c r="Q54" i="157"/>
  <c r="Q55" i="157"/>
  <c r="Q8" i="157"/>
  <c r="P9" i="156"/>
  <c r="P10" i="156"/>
  <c r="P11" i="156"/>
  <c r="P12" i="156"/>
  <c r="P13" i="156"/>
  <c r="P14" i="156"/>
  <c r="P15" i="156"/>
  <c r="P16" i="156"/>
  <c r="P17" i="156"/>
  <c r="P18" i="156"/>
  <c r="P19" i="156"/>
  <c r="P20" i="156"/>
  <c r="P21" i="156"/>
  <c r="P22" i="156"/>
  <c r="P23" i="156"/>
  <c r="P24" i="156"/>
  <c r="P25" i="156"/>
  <c r="P26" i="156"/>
  <c r="P27" i="156"/>
  <c r="P28" i="156"/>
  <c r="P29" i="156"/>
  <c r="P30" i="156"/>
  <c r="P31" i="156"/>
  <c r="P32" i="156"/>
  <c r="P33" i="156"/>
  <c r="P34" i="156"/>
  <c r="P35" i="156"/>
  <c r="P37" i="156"/>
  <c r="P38" i="156"/>
  <c r="P39" i="156"/>
  <c r="P40" i="156"/>
  <c r="P41" i="156"/>
  <c r="P43" i="156"/>
  <c r="P44" i="156"/>
  <c r="P45" i="156"/>
  <c r="P46" i="156"/>
  <c r="P47" i="156"/>
  <c r="P49" i="156"/>
  <c r="P51" i="156"/>
  <c r="P52" i="156"/>
  <c r="P53" i="156"/>
  <c r="P54" i="156"/>
  <c r="P8" i="156"/>
  <c r="K10" i="157" l="1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7" i="157"/>
  <c r="K38" i="157"/>
  <c r="K39" i="157"/>
  <c r="K40" i="157"/>
  <c r="K41" i="157"/>
  <c r="K43" i="157"/>
  <c r="K44" i="157"/>
  <c r="K45" i="157"/>
  <c r="K46" i="157"/>
  <c r="K47" i="157"/>
  <c r="K49" i="157"/>
  <c r="K51" i="157"/>
  <c r="K52" i="157"/>
  <c r="K53" i="157"/>
  <c r="K54" i="157"/>
  <c r="K55" i="157"/>
  <c r="K9" i="157"/>
  <c r="R11" i="155" l="1"/>
  <c r="Z10" i="155" l="1"/>
  <c r="Y56" i="155" l="1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8" i="140"/>
  <c r="C28" i="140" s="1"/>
  <c r="D29" i="140"/>
  <c r="C29" i="140" s="1"/>
  <c r="D30" i="140"/>
  <c r="C30" i="140" s="1"/>
  <c r="D31" i="140"/>
  <c r="C31" i="140" s="1"/>
  <c r="D32" i="140"/>
  <c r="C32" i="140" s="1"/>
  <c r="D26" i="140"/>
  <c r="C26" i="140" l="1"/>
  <c r="E40" i="140"/>
  <c r="E41" i="140"/>
  <c r="E42" i="140"/>
  <c r="E43" i="140"/>
  <c r="E44" i="140"/>
  <c r="E45" i="140"/>
  <c r="E46" i="140"/>
  <c r="E39" i="140"/>
  <c r="D46" i="140"/>
  <c r="B32" i="140" s="1"/>
  <c r="D40" i="140"/>
  <c r="B26" i="140" s="1"/>
  <c r="D41" i="140"/>
  <c r="B27" i="140" s="1"/>
  <c r="D42" i="140"/>
  <c r="B28" i="140" s="1"/>
  <c r="D43" i="140"/>
  <c r="B29" i="140" s="1"/>
  <c r="D44" i="140"/>
  <c r="B30" i="140" s="1"/>
  <c r="D45" i="140"/>
  <c r="B31" i="140" s="1"/>
  <c r="D3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tc={3B03FC72-483A-4E31-AA38-71C9863B6C4B}</author>
    <author>tc={8EB058B6-DE6C-4473-8CB9-F770B69AA057}</author>
    <author>Suleimenov Bakytzhan</author>
  </authors>
  <commentList>
    <comment ref="U47" authorId="0" shapeId="0" xr:uid="{3B03FC72-483A-4E31-AA38-71C9863B6C4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U50" authorId="1" shapeId="0" xr:uid="{8EB058B6-DE6C-4473-8CB9-F770B69AA057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Q51" authorId="2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2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<sst xmlns="http://schemas.openxmlformats.org/spreadsheetml/2006/main" count="960" uniqueCount="396">
  <si>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</si>
  <si>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</si>
  <si>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</si>
  <si>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</si>
  <si>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</si>
  <si>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</si>
  <si>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</si>
  <si>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</si>
  <si>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</si>
  <si>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</si>
  <si>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</si>
  <si>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</si>
  <si>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</si>
  <si>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</si>
  <si>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</si>
  <si>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</si>
  <si>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</si>
  <si>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</si>
  <si>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</si>
  <si>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</si>
  <si>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</si>
  <si>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</si>
  <si>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</si>
  <si>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</si>
  <si>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</si>
  <si>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</si>
  <si>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</si>
  <si>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</si>
  <si>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</si>
  <si>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</si>
  <si>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</si>
  <si>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</si>
  <si>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</si>
  <si>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</si>
  <si>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</si>
  <si>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</si>
  <si>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</si>
  <si>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</si>
  <si>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</si>
  <si>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</si>
  <si>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</si>
  <si>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</si>
  <si>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</si>
  <si>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</si>
  <si>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</si>
  <si>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</si>
  <si>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</si>
  <si>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</si>
  <si>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</si>
  <si>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</si>
  <si>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</si>
  <si>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</si>
  <si>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</si>
  <si>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</si>
  <si>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</si>
  <si>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</si>
  <si>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</si>
  <si>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</si>
  <si>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</si>
  <si>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</si>
  <si>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</si>
  <si>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</si>
  <si>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</si>
  <si>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</si>
  <si>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</si>
  <si>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</si>
  <si>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</si>
  <si>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</si>
  <si>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</si>
  <si>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</si>
  <si>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</si>
  <si>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</si>
  <si>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</si>
  <si>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</si>
  <si>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</si>
  <si>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</si>
  <si>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</si>
  <si>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</si>
  <si>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</si>
  <si>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</si>
  <si>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</si>
  <si>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</si>
  <si>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</si>
  <si>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</si>
  <si>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</si>
  <si>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</si>
  <si>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</si>
  <si>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</si>
  <si>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</si>
  <si>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</si>
  <si>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</si>
  <si>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</si>
  <si>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</si>
  <si>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</si>
  <si>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</si>
  <si>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</si>
  <si>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</si>
  <si>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</si>
  <si>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</si>
  <si>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</si>
  <si>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</si>
  <si>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</si>
  <si>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</si>
  <si>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</si>
  <si>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</si>
  <si>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</si>
  <si>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</si>
  <si>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</si>
  <si>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</si>
  <si>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</si>
  <si>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</si>
  <si>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</si>
  <si>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</si>
  <si>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</si>
  <si>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</si>
  <si>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</si>
  <si>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</si>
  <si>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</si>
  <si>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</si>
  <si>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</si>
  <si>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</si>
  <si>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</si>
  <si>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</si>
  <si>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</si>
  <si>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</si>
  <si>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</si>
  <si>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</si>
  <si>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</si>
  <si>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</si>
  <si>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</si>
  <si>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</si>
  <si>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</si>
  <si>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</si>
  <si>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</si>
  <si>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</si>
  <si>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</si>
  <si>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</si>
  <si>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</si>
  <si>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</si>
  <si>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</si>
  <si>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</si>
  <si>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</si>
  <si>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</si>
  <si>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</si>
  <si>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</si>
  <si>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</si>
  <si>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</si>
  <si>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</si>
  <si>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</si>
  <si>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</si>
  <si>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</si>
  <si>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</si>
  <si>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</si>
  <si>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</si>
  <si>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</si>
  <si>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</si>
  <si>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</si>
  <si>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</si>
  <si>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</si>
  <si>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</si>
  <si>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</si>
  <si>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</si>
  <si>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</si>
  <si>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</si>
  <si>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</si>
  <si>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</si>
  <si>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</si>
  <si>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</si>
  <si>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</si>
  <si>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</si>
  <si>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</si>
  <si>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</si>
  <si>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</si>
  <si>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</si>
  <si>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</si>
  <si>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</si>
  <si>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</si>
  <si>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</si>
  <si>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</si>
  <si>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</si>
  <si>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</si>
  <si>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</si>
  <si>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</si>
  <si>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</si>
  <si>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</si>
  <si>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</si>
  <si>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</si>
  <si>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</si>
  <si>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</si>
  <si>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</si>
  <si>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</si>
  <si>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</si>
  <si>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</si>
  <si>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</si>
  <si>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</si>
  <si>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</si>
  <si>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</si>
  <si>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</si>
  <si>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</si>
  <si>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</si>
  <si>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</si>
  <si>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</si>
  <si>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</si>
  <si>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</si>
  <si>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</si>
  <si>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</si>
  <si>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</si>
  <si>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</si>
  <si>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</si>
  <si>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</si>
  <si>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</si>
  <si>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</si>
  <si>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</si>
  <si>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</si>
  <si>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</si>
  <si>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</si>
  <si>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</si>
  <si>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</si>
  <si>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</si>
  <si>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INVCOST</t>
  </si>
  <si>
    <t>CAP2ACT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</si>
  <si>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</si>
  <si>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</si>
  <si>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</si>
  <si>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</si>
  <si>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</si>
  <si>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</si>
  <si>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GW</t>
  </si>
  <si>
    <t>%</t>
  </si>
  <si>
    <t>NZD/kW</t>
  </si>
  <si>
    <t>Eun-use PJ</t>
  </si>
  <si>
    <t>*ACT_BND~NI~2018</t>
  </si>
  <si>
    <t>*Demand Commodity Name</t>
  </si>
  <si>
    <t>Demand Value</t>
  </si>
  <si>
    <t>Technology investment ban for existing tech</t>
  </si>
  <si>
    <t>Existing Installed Capacity installation period</t>
  </si>
  <si>
    <t>*NCAP_PASTY</t>
  </si>
  <si>
    <t>Demand~2018</t>
  </si>
  <si>
    <t>Share-I~UP</t>
  </si>
  <si>
    <t>Share-I~UP~2020</t>
  </si>
  <si>
    <t>*ACT_BND~SI~2015</t>
  </si>
  <si>
    <t>FLO_DELIV</t>
  </si>
  <si>
    <t>AFFA</t>
  </si>
  <si>
    <t>ALLL</t>
  </si>
  <si>
    <t>ALLM</t>
  </si>
  <si>
    <t>BSM</t>
  </si>
  <si>
    <t>DB</t>
  </si>
  <si>
    <t>DCIP</t>
  </si>
  <si>
    <t>DRBB</t>
  </si>
  <si>
    <t>DRI</t>
  </si>
  <si>
    <t>FH</t>
  </si>
  <si>
    <t>FONE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</si>
  <si>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</si>
  <si>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</si>
  <si>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</si>
  <si>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</si>
  <si>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</si>
  <si>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</si>
  <si>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</si>
  <si>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</si>
  <si>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</si>
  <si>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</si>
  <si>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</si>
  <si>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</si>
  <si>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</si>
  <si>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</si>
  <si>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</si>
  <si>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</si>
  <si>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</si>
  <si>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OCDA</t>
  </si>
  <si>
    <t>PRM</t>
  </si>
  <si>
    <t>SHGH</t>
  </si>
  <si>
    <t>SFFF</t>
  </si>
  <si>
    <t>SFFW</t>
  </si>
  <si>
    <t>SIT</t>
  </si>
  <si>
    <t>SDCSP</t>
  </si>
  <si>
    <t>STT</t>
  </si>
  <si>
    <t>AFFCO
Awarua</t>
  </si>
  <si>
    <t>Alliance
Lorneville</t>
  </si>
  <si>
    <t>Alliance
Mataura</t>
  </si>
  <si>
    <t>Alsco - Invercargill</t>
  </si>
  <si>
    <t>Blue Sky Meats</t>
  </si>
  <si>
    <t>CRT Farmlands - Winton Feedstock</t>
  </si>
  <si>
    <t>Danone
Balclutha</t>
  </si>
  <si>
    <t>Department of Corrections
Invercargill Prison</t>
  </si>
  <si>
    <t>Downers Roading
Bluff Bitumen Plant</t>
  </si>
  <si>
    <t>Downers Roading
Invercargill</t>
  </si>
  <si>
    <t>Fiordland Hotel</t>
  </si>
  <si>
    <t>Fonterra
Edendale</t>
  </si>
  <si>
    <t>Fonterra
Stirling</t>
  </si>
  <si>
    <t>Great Southern
Invercargill</t>
  </si>
  <si>
    <t>Great Southern
Milton</t>
  </si>
  <si>
    <t>ILT
Ascot Park Motels</t>
  </si>
  <si>
    <t>ILT
Stadium Southland</t>
  </si>
  <si>
    <t>Kelvin Hotel</t>
  </si>
  <si>
    <t xml:space="preserve">Mataura Valley Milk </t>
  </si>
  <si>
    <t>Ministry of Education 
Aparima College</t>
  </si>
  <si>
    <t>Ministry of Education 
Aurora College</t>
  </si>
  <si>
    <t>Ministry of Education 
Central Southland College</t>
  </si>
  <si>
    <t>Ministry of Education 
East Otago High School</t>
  </si>
  <si>
    <t>Ministry of Education 
Gore High School</t>
  </si>
  <si>
    <t>Ministry of Education 
Northern Southland College</t>
  </si>
  <si>
    <t>Ministry of Education 
Southland Boys College</t>
  </si>
  <si>
    <t>Ministry of Education 
Southland Girls High School</t>
  </si>
  <si>
    <t>Ministry of Education 
St. Peters College Gore</t>
  </si>
  <si>
    <t>Ministry of Health
Southland Hospital</t>
  </si>
  <si>
    <t>Ngahere sawmilling</t>
  </si>
  <si>
    <t>Oceana Gold Ltd
Palmerston</t>
  </si>
  <si>
    <t>Open Country Dairy
Awarua</t>
  </si>
  <si>
    <t>Presbyterian Support
Peaceheaven Village</t>
  </si>
  <si>
    <t>Prime Range Fresh
Prime Range meats</t>
  </si>
  <si>
    <t>Scenic Hotel Group
Heartland Hotel</t>
  </si>
  <si>
    <t>Silverfern Farms
Finegand</t>
  </si>
  <si>
    <t>Silverfern Farms
Waitane</t>
  </si>
  <si>
    <t>South Pacific Meats</t>
  </si>
  <si>
    <t>Southern District Healthboard - Balclutha Hospital</t>
  </si>
  <si>
    <t xml:space="preserve">Southern Institute of Technology </t>
  </si>
  <si>
    <t xml:space="preserve">Southland District Council
Fiordland Community Swimming Pool </t>
  </si>
  <si>
    <t>Splash Palace Invercargill</t>
  </si>
  <si>
    <t>Stuart Timber
Tapanui</t>
  </si>
  <si>
    <t>TNZ Growing products</t>
  </si>
  <si>
    <t>*END USE CODE</t>
  </si>
  <si>
    <t>PH-INT</t>
  </si>
  <si>
    <t>SH</t>
  </si>
  <si>
    <t>WH</t>
  </si>
  <si>
    <t>\I:</t>
  </si>
  <si>
    <t>\I:ALSI</t>
  </si>
  <si>
    <t>\I:OGP</t>
  </si>
  <si>
    <t>\I:SPI</t>
  </si>
  <si>
    <t>ACT_BND~SL~2018</t>
  </si>
  <si>
    <t>NCAP_PASTI~SL~2018</t>
  </si>
  <si>
    <t>ACT_BND~SL~0</t>
  </si>
  <si>
    <t>\I:TGP</t>
  </si>
  <si>
    <t>\I:DEM</t>
  </si>
  <si>
    <t>Alsco - Invercargill-</t>
  </si>
  <si>
    <t>Blue Sky Meats-ProcessHeat</t>
  </si>
  <si>
    <t>CRT Farmlands - Winton Feedstock-</t>
  </si>
  <si>
    <t>Fiordland Hotel-SpaceHeating</t>
  </si>
  <si>
    <t>Kelvin Hotel-SpaceHeating</t>
  </si>
  <si>
    <t>Mataura Valley Milk -SpaceHeating</t>
  </si>
  <si>
    <t>Ngahere sawmilling-ProcessHeat</t>
  </si>
  <si>
    <t>Southern Institute of Technology -SpaceHeating</t>
  </si>
  <si>
    <t>AFFCOAwarua-ProcessHeat</t>
  </si>
  <si>
    <t>AllianceLorneville-ProcessHeat</t>
  </si>
  <si>
    <t>AllianceMataura-ProcessHeat</t>
  </si>
  <si>
    <t>DanoneBalclutha-ProcessHeat</t>
  </si>
  <si>
    <t>Department of CorrectionsInvercargill Prison-SpaceHeating</t>
  </si>
  <si>
    <t>Downers RoadingBluff Bitumen Plant-ProcessHeat</t>
  </si>
  <si>
    <t>Downers RoadingInvercargill-ProcessHeat</t>
  </si>
  <si>
    <t>FonterraEdendale-ProcessHeat</t>
  </si>
  <si>
    <t>FonterraStirling-ProcessHeat</t>
  </si>
  <si>
    <t>Great SouthernInvercargill-ProcessHeat</t>
  </si>
  <si>
    <t>Great SouthernMilton-ProcessHeat</t>
  </si>
  <si>
    <t>ILTAscot Park Motels-SpaceHeating</t>
  </si>
  <si>
    <t>ILTStadium Southland-SpaceHeating</t>
  </si>
  <si>
    <t>Ministry of Education Aparima College-SpaceHeating</t>
  </si>
  <si>
    <t>Ministry of Education Aurora College-SpaceHeating</t>
  </si>
  <si>
    <t>Ministry of Education Central Southland College-SpaceHeating</t>
  </si>
  <si>
    <t>Ministry of Education East Otago High School-SpaceHeating</t>
  </si>
  <si>
    <t>Ministry of Education Gore High School-SpaceHeating</t>
  </si>
  <si>
    <t>Ministry of Education Northern Southland College-SpaceHeating</t>
  </si>
  <si>
    <t>Ministry of Education Southland Boys College-SpaceHeating</t>
  </si>
  <si>
    <t>Ministry of Education Southland Girls High School-SpaceHeating</t>
  </si>
  <si>
    <t>Ministry of HealthSouthland Hospital-SpaceHeating</t>
  </si>
  <si>
    <t>Oceana Gold LtdPalmerston-ProcessHeat</t>
  </si>
  <si>
    <t>Open Country DairyAwarua-ProcessHeat</t>
  </si>
  <si>
    <t>Prime Range FreshPrime Range meats-ProcessHeat</t>
  </si>
  <si>
    <t>Scenic Hotel GroupHeartland Hotel-SpaceHeating</t>
  </si>
  <si>
    <t>Silverfern FarmsFinegand-ProcessHeat</t>
  </si>
  <si>
    <t>Silverfern FarmsWaitane-ProcessHeat</t>
  </si>
  <si>
    <t>Southland District CouncilFiordland Community Swimming Pool -WaterHeating</t>
  </si>
  <si>
    <t>Stuart TimberTapanui-ProcessHeat</t>
  </si>
  <si>
    <t>*INDNGA</t>
  </si>
  <si>
    <t>ANNUAL</t>
  </si>
  <si>
    <t>\I:CFWF</t>
  </si>
  <si>
    <t>Southern District Healthboard - Balclutha Hospital-SpaceHeating</t>
  </si>
  <si>
    <t>South Pacific Meats-ProcessHeat</t>
  </si>
  <si>
    <t>Presbyterian SupportPeaceheaven Village-SpaceHeating</t>
  </si>
  <si>
    <t>Ministry of Education St. Peters College Gore-SpaceHeating</t>
  </si>
  <si>
    <t>EDSPC_A</t>
  </si>
  <si>
    <t>PSPV_A</t>
  </si>
  <si>
    <t>EDSPC_B</t>
  </si>
  <si>
    <t>EDSPC-SH</t>
  </si>
  <si>
    <t>PSPV-SH</t>
  </si>
  <si>
    <t>PSPV_B</t>
  </si>
  <si>
    <t>SPM-PH-INT</t>
  </si>
  <si>
    <t>SDBH-SH</t>
  </si>
  <si>
    <t>SPM_A</t>
  </si>
  <si>
    <t>SPM_B</t>
  </si>
  <si>
    <t>SDBH_A</t>
  </si>
  <si>
    <t>SDBH_B</t>
  </si>
  <si>
    <t>INDPLT</t>
  </si>
  <si>
    <t>Industrial Pellet</t>
  </si>
  <si>
    <t>Process Heat</t>
  </si>
  <si>
    <t>*NCAP_BND~2025</t>
  </si>
  <si>
    <t>*NCAP_BND~0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</si>
</sst>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67" fontId="16" fillId="0" borderId="0"/>
    <xf numFmtId="167" fontId="16" fillId="0" borderId="0"/>
    <xf numFmtId="167" fontId="16" fillId="0" borderId="0"/>
    <xf numFmtId="0" fontId="11" fillId="0" borderId="0"/>
    <xf numFmtId="167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69" fontId="16" fillId="0" borderId="0"/>
    <xf numFmtId="0" fontId="11" fillId="0" borderId="0"/>
    <xf numFmtId="0" fontId="11" fillId="0" borderId="0"/>
    <xf numFmtId="167" fontId="16" fillId="0" borderId="0"/>
    <xf numFmtId="0" fontId="64" fillId="0" borderId="0"/>
    <xf numFmtId="169" fontId="64" fillId="0" borderId="0"/>
    <xf numFmtId="167" fontId="16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0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0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0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0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0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0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0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0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0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0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0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0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0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0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0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0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0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0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0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0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0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0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20" borderId="1" applyNumberFormat="0" applyAlignment="0" applyProtection="0"/>
    <xf numFmtId="0" fontId="19" fillId="20" borderId="1" applyNumberFormat="0" applyAlignment="0" applyProtection="0"/>
    <xf numFmtId="170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0" fillId="0" borderId="0"/>
    <xf numFmtId="170" fontId="10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1" fillId="0" borderId="0">
      <alignment horizontal="center"/>
    </xf>
    <xf numFmtId="170" fontId="11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7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8" fillId="0" borderId="0" applyFont="0" applyFill="0" applyBorder="0" applyAlignment="0" applyProtection="0"/>
    <xf numFmtId="177" fontId="81" fillId="0" borderId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82" fillId="0" borderId="0"/>
    <xf numFmtId="170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0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0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2" fontId="69" fillId="93" borderId="0"/>
    <xf numFmtId="173" fontId="69" fillId="93" borderId="0"/>
    <xf numFmtId="174" fontId="69" fillId="93" borderId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7" borderId="1" applyNumberFormat="0" applyAlignment="0" applyProtection="0"/>
    <xf numFmtId="0" fontId="26" fillId="7" borderId="1" applyNumberFormat="0" applyAlignment="0" applyProtection="0"/>
    <xf numFmtId="17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0" fontId="11" fillId="93" borderId="0">
      <protection locked="0"/>
    </xf>
    <xf numFmtId="170" fontId="11" fillId="93" borderId="0">
      <protection locked="0"/>
    </xf>
    <xf numFmtId="170" fontId="10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73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2" fontId="68" fillId="0" borderId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170" fontId="11" fillId="0" borderId="0"/>
    <xf numFmtId="170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0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170" fontId="81" fillId="95" borderId="7" applyNumberForma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8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0" fontId="29" fillId="61" borderId="8" applyNumberFormat="0" applyAlignment="0" applyProtection="0"/>
    <xf numFmtId="170" fontId="29" fillId="61" borderId="8" applyNumberFormat="0" applyAlignment="0" applyProtection="0"/>
    <xf numFmtId="17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20" borderId="8" applyNumberFormat="0" applyAlignment="0" applyProtection="0"/>
    <xf numFmtId="0" fontId="29" fillId="20" borderId="8" applyNumberFormat="0" applyAlignment="0" applyProtection="0"/>
    <xf numFmtId="170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66" fillId="96" borderId="0" applyNumberFormat="0" applyFont="0" applyBorder="0" applyAlignment="0" applyProtection="0"/>
    <xf numFmtId="172" fontId="11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4" fillId="0" borderId="0">
      <alignment horizontal="center"/>
    </xf>
    <xf numFmtId="170" fontId="95" fillId="67" borderId="0"/>
    <xf numFmtId="170" fontId="96" fillId="100" borderId="0"/>
    <xf numFmtId="170" fontId="95" fillId="67" borderId="0"/>
    <xf numFmtId="170" fontId="95" fillId="60" borderId="0"/>
    <xf numFmtId="170" fontId="97" fillId="67" borderId="26">
      <alignment horizontal="center" vertical="center"/>
    </xf>
    <xf numFmtId="170" fontId="97" fillId="67" borderId="26">
      <alignment horizontal="center" vertical="center"/>
    </xf>
    <xf numFmtId="170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1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0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78">
    <xf numFmtId="0" fontId="0" fillId="0" borderId="0" xfId="0"/>
    <xf numFmtId="0" fontId="58" fillId="0" borderId="0" xfId="0" applyFont="1"/>
    <xf numFmtId="0" fontId="35" fillId="44" borderId="0" xfId="2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Fill="1" applyBorder="1" applyAlignment="1">
      <alignment horizontal="left" vertical="top"/>
    </xf>
    <xf numFmtId="0" fontId="58" fillId="0" borderId="0" xfId="6" applyFont="1" applyFill="1" applyBorder="1" applyAlignment="1">
      <alignment horizontal="left" vertical="top" wrapText="1"/>
    </xf>
    <xf numFmtId="0" fontId="61" fillId="0" borderId="0" xfId="8" applyFont="1" applyFill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0" fontId="58" fillId="0" borderId="0" xfId="6" applyFont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6" applyNumberFormat="1" applyFont="1" applyFill="1" applyBorder="1" applyAlignment="1">
      <alignment horizontal="center" vertical="center"/>
    </xf>
    <xf numFmtId="168" fontId="58" fillId="0" borderId="24" xfId="0" applyNumberFormat="1" applyFont="1" applyFill="1" applyBorder="1" applyAlignment="1">
      <alignment horizontal="center" vertical="center" wrapText="1"/>
    </xf>
    <xf numFmtId="168" fontId="58" fillId="0" borderId="24" xfId="0" applyNumberFormat="1" applyFont="1" applyFill="1" applyBorder="1" applyAlignment="1">
      <alignment horizontal="center" vertical="center"/>
    </xf>
    <xf numFmtId="0" fontId="58" fillId="58" borderId="24" xfId="5" applyFont="1" applyFill="1" applyBorder="1"/>
    <xf numFmtId="168" fontId="58" fillId="0" borderId="24" xfId="6" applyNumberFormat="1" applyFont="1" applyFill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Fill="1" applyBorder="1"/>
    <xf numFmtId="0" fontId="58" fillId="0" borderId="24" xfId="6" applyFont="1" applyBorder="1"/>
    <xf numFmtId="168" fontId="58" fillId="0" borderId="24" xfId="6" applyNumberFormat="1" applyFont="1" applyBorder="1"/>
    <xf numFmtId="0" fontId="61" fillId="0" borderId="0" xfId="0" applyFont="1" applyFill="1" applyAlignment="1">
      <alignment horizontal="left"/>
    </xf>
    <xf numFmtId="0" fontId="104" fillId="0" borderId="0" xfId="0" applyFont="1" applyFill="1"/>
    <xf numFmtId="0" fontId="58" fillId="0" borderId="0" xfId="0" applyFont="1" applyFill="1" applyBorder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Border="1" applyAlignment="1">
      <alignment horizontal="left" vertical="center"/>
    </xf>
    <xf numFmtId="2" fontId="58" fillId="59" borderId="0" xfId="0" applyNumberFormat="1" applyFont="1" applyFill="1"/>
    <xf numFmtId="2" fontId="58" fillId="59" borderId="0" xfId="0" applyNumberFormat="1" applyFont="1" applyFill="1" applyBorder="1"/>
    <xf numFmtId="0" fontId="58" fillId="0" borderId="0" xfId="0" applyFont="1"/>
    <xf numFmtId="168" fontId="105" fillId="0" borderId="0" xfId="6" applyNumberFormat="1" applyFont="1"/>
    <xf numFmtId="168" fontId="61" fillId="0" borderId="0" xfId="6" applyNumberFormat="1" applyFont="1"/>
    <xf numFmtId="0" fontId="61" fillId="0" borderId="0" xfId="9" applyFont="1" applyFill="1" applyAlignment="1">
      <alignment horizontal="left"/>
    </xf>
    <xf numFmtId="0" fontId="67" fillId="60" borderId="0" xfId="36096" applyFont="1" applyFill="1" applyBorder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ont="1" applyFill="1" applyAlignment="1" applyProtection="1">
      <alignment vertical="center"/>
      <protection locked="0"/>
    </xf>
    <xf numFmtId="43" fontId="11" fillId="60" borderId="0" xfId="36096" applyNumberFormat="1" applyFon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ont="1" applyFill="1" applyAlignment="1">
      <alignment vertical="center"/>
    </xf>
    <xf numFmtId="0" fontId="10" fillId="60" borderId="0" xfId="36096" applyFont="1" applyFill="1" applyAlignment="1">
      <alignment vertical="center"/>
    </xf>
    <xf numFmtId="0" fontId="10" fillId="60" borderId="0" xfId="36096" applyFont="1" applyFill="1" applyBorder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Border="1" applyAlignment="1" applyProtection="1">
      <alignment vertical="center"/>
      <protection locked="0"/>
    </xf>
    <xf numFmtId="0" fontId="113" fillId="60" borderId="0" xfId="36096" applyFont="1" applyFill="1" applyBorder="1" applyAlignment="1" applyProtection="1">
      <alignment horizontal="center" vertical="center"/>
      <protection locked="0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Border="1" applyAlignment="1">
      <alignment horizontal="centerContinuous" vertical="center"/>
    </xf>
    <xf numFmtId="0" fontId="114" fillId="60" borderId="0" xfId="36096" applyFont="1" applyFill="1" applyAlignment="1">
      <alignment horizontal="centerContinuous" vertical="center"/>
    </xf>
    <xf numFmtId="180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8" fillId="0" borderId="24" xfId="6" applyNumberFormat="1" applyFont="1" applyFill="1" applyBorder="1"/>
    <xf numFmtId="168" fontId="58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 applyFill="1" applyBorder="1"/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126" fillId="108" borderId="0" xfId="36912" applyNumberFormat="1" applyFont="1" applyFill="1" applyBorder="1" applyAlignment="1">
      <alignment horizontal="left" vertical="center" wrapText="1"/>
    </xf>
    <xf numFmtId="43" fontId="3" fillId="108" borderId="0" xfId="36912" applyNumberFormat="1" applyFont="1" applyFill="1"/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49" fillId="108" borderId="0" xfId="36912" applyNumberFormat="1" applyFont="1" applyFill="1" applyBorder="1" applyAlignment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8" fontId="58" fillId="0" borderId="0" xfId="0" applyNumberFormat="1" applyFont="1" applyFill="1" applyBorder="1" applyAlignment="1">
      <alignment horizontal="center" vertical="center" wrapText="1"/>
    </xf>
    <xf numFmtId="168" fontId="58" fillId="0" borderId="0" xfId="6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168" fontId="58" fillId="0" borderId="0" xfId="0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49" fillId="108" borderId="0" xfId="36912" applyNumberFormat="1" applyFont="1" applyFill="1" applyAlignment="1">
      <alignment horizontal="left" indent="1"/>
    </xf>
    <xf numFmtId="182" fontId="58" fillId="0" borderId="0" xfId="0" applyNumberFormat="1" applyFont="1" applyAlignment="1">
      <alignment horizontal="left" vertical="top"/>
    </xf>
    <xf numFmtId="0" fontId="128" fillId="0" borderId="0" xfId="46713"/>
    <xf numFmtId="168" fontId="61" fillId="0" borderId="0" xfId="46714" applyNumberFormat="1" applyFont="1" applyAlignment="1">
      <alignment horizontal="left" vertical="top"/>
    </xf>
    <xf numFmtId="168" fontId="58" fillId="0" borderId="0" xfId="46714" applyNumberFormat="1" applyFont="1" applyAlignment="1">
      <alignment horizontal="left" vertical="top"/>
    </xf>
    <xf numFmtId="168" fontId="60" fillId="24" borderId="10" xfId="46714" applyNumberFormat="1" applyFont="1" applyFill="1" applyBorder="1" applyAlignment="1">
      <alignment horizontal="left" vertical="top"/>
    </xf>
    <xf numFmtId="168" fontId="60" fillId="24" borderId="12" xfId="46714" applyNumberFormat="1" applyFont="1" applyFill="1" applyBorder="1" applyAlignment="1">
      <alignment horizontal="left" vertical="top"/>
    </xf>
    <xf numFmtId="168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6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2" fontId="58" fillId="0" borderId="0" xfId="0" applyNumberFormat="1" applyFont="1" applyAlignment="1">
      <alignment horizontal="left" vertical="top"/>
    </xf>
    <xf numFmtId="2" fontId="58" fillId="0" borderId="0" xfId="0" applyNumberFormat="1" applyFont="1" applyFill="1" applyAlignment="1">
      <alignment horizontal="left" vertical="top"/>
    </xf>
    <xf numFmtId="0" fontId="0" fillId="114" borderId="0" xfId="0" applyFill="1"/>
    <xf numFmtId="0" fontId="58" fillId="114" borderId="0" xfId="46713" applyFont="1" applyFill="1" applyAlignment="1">
      <alignment horizontal="left" vertical="top"/>
    </xf>
    <xf numFmtId="9" fontId="128" fillId="114" borderId="0" xfId="36095" applyFont="1" applyFill="1"/>
    <xf numFmtId="0" fontId="128" fillId="0" borderId="0" xfId="46713" applyFill="1"/>
    <xf numFmtId="0" fontId="0" fillId="115" borderId="0" xfId="0" applyFill="1"/>
    <xf numFmtId="9" fontId="128" fillId="0" borderId="0" xfId="36095" applyFont="1" applyFill="1"/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Border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0" fontId="108" fillId="0" borderId="10" xfId="36097" applyNumberFormat="1" applyFont="1" applyBorder="1" applyAlignment="1">
      <alignment horizontal="center" vertical="center" wrapText="1"/>
    </xf>
    <xf numFmtId="180" fontId="108" fillId="0" borderId="46" xfId="36097" applyNumberFormat="1" applyFont="1" applyBorder="1" applyAlignment="1">
      <alignment horizontal="center" vertical="center" wrapText="1"/>
    </xf>
    <xf numFmtId="180" fontId="108" fillId="0" borderId="0" xfId="36097" applyNumberFormat="1" applyFont="1" applyBorder="1" applyAlignment="1">
      <alignment horizontal="center" vertical="center" wrapText="1"/>
    </xf>
    <xf numFmtId="180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w Greed" id="{91B038B6-A259-48B3-B831-904608FB89E1}" userId="S::Andrew.Greed@eeca.govt.nz::9c1b22c0-21d8-492e-9162-29e6971ab7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7" dT="2022-05-25T00:00:20.30" personId="{91B038B6-A259-48B3-B831-904608FB89E1}" id="{3B03FC72-483A-4E31-AA38-71C9863B6C4B}">
    <text>Placeholder</text>
  </threadedComment>
  <threadedComment ref="U50" dT="2022-05-25T00:00:54.62" personId="{91B038B6-A259-48B3-B831-904608FB89E1}" id="{8EB058B6-DE6C-4473-8CB9-F770B69AA057}">
    <text>Placeholder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W21" sqref="W21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5" t="s">
        <v>89</v>
      </c>
      <c r="C2" s="165"/>
      <c r="D2" s="74"/>
      <c r="E2" s="75"/>
      <c r="F2" s="75"/>
      <c r="G2" s="76"/>
      <c r="H2" s="75"/>
      <c r="I2" s="77"/>
      <c r="J2" s="78"/>
      <c r="K2" s="78"/>
      <c r="L2" s="78"/>
      <c r="M2" s="78"/>
      <c r="N2" s="78"/>
      <c r="O2" s="78"/>
      <c r="P2" s="78"/>
      <c r="Q2" s="79"/>
      <c r="R2" s="78"/>
      <c r="S2" s="80"/>
      <c r="T2" s="81"/>
      <c r="U2" s="81"/>
      <c r="V2" s="81"/>
      <c r="W2" s="81"/>
      <c r="X2" s="81"/>
      <c r="Y2" s="81"/>
      <c r="Z2" s="81"/>
      <c r="AA2" s="78"/>
    </row>
    <row r="3" spans="2:29" ht="24" thickBot="1">
      <c r="B3" s="166">
        <v>2015</v>
      </c>
      <c r="C3" s="167"/>
      <c r="D3" s="82"/>
      <c r="E3" s="83"/>
      <c r="F3" s="84"/>
      <c r="G3" s="85"/>
      <c r="H3" s="85"/>
      <c r="I3" s="85"/>
      <c r="J3" s="86"/>
      <c r="K3" s="86"/>
      <c r="L3" s="86"/>
      <c r="M3" s="87"/>
      <c r="N3" s="88"/>
      <c r="O3" s="88"/>
      <c r="P3" s="88"/>
      <c r="Q3" s="88"/>
      <c r="R3" s="88"/>
      <c r="S3" s="88"/>
      <c r="T3" s="89"/>
      <c r="U3" s="89"/>
      <c r="V3" s="89"/>
      <c r="W3" s="89"/>
      <c r="X3" s="89"/>
      <c r="Y3" s="89"/>
      <c r="Z3" s="89"/>
      <c r="AA3" s="90"/>
    </row>
    <row r="4" spans="2:29" ht="32.25" thickBot="1">
      <c r="B4" s="168" t="s">
        <v>90</v>
      </c>
      <c r="C4" s="169"/>
      <c r="D4" s="91"/>
      <c r="E4" s="172" t="s">
        <v>91</v>
      </c>
      <c r="F4" s="173"/>
      <c r="G4" s="173"/>
      <c r="H4" s="173"/>
      <c r="I4" s="174"/>
      <c r="J4" s="175" t="s">
        <v>92</v>
      </c>
      <c r="K4" s="176"/>
      <c r="L4" s="176"/>
      <c r="M4" s="176"/>
      <c r="N4" s="176"/>
      <c r="O4" s="176"/>
      <c r="P4" s="176"/>
      <c r="Q4" s="177"/>
      <c r="R4" s="92" t="s">
        <v>93</v>
      </c>
      <c r="S4" s="161" t="s">
        <v>94</v>
      </c>
      <c r="T4" s="162"/>
      <c r="U4" s="162"/>
      <c r="V4" s="162"/>
      <c r="W4" s="162"/>
      <c r="X4" s="162"/>
      <c r="Y4" s="162"/>
      <c r="Z4" s="163"/>
      <c r="AA4" s="93" t="s">
        <v>95</v>
      </c>
    </row>
    <row r="5" spans="2:29" ht="60.75" thickBot="1">
      <c r="B5" s="170"/>
      <c r="C5" s="171"/>
      <c r="D5" s="94"/>
      <c r="E5" s="95" t="s">
        <v>96</v>
      </c>
      <c r="F5" s="96" t="s">
        <v>97</v>
      </c>
      <c r="G5" s="96" t="s">
        <v>98</v>
      </c>
      <c r="H5" s="96" t="s">
        <v>99</v>
      </c>
      <c r="I5" s="97" t="s">
        <v>100</v>
      </c>
      <c r="J5" s="98" t="s">
        <v>101</v>
      </c>
      <c r="K5" s="98" t="s">
        <v>59</v>
      </c>
      <c r="L5" s="99" t="s">
        <v>102</v>
      </c>
      <c r="M5" s="98" t="s">
        <v>103</v>
      </c>
      <c r="N5" s="98" t="s">
        <v>104</v>
      </c>
      <c r="O5" s="98" t="s">
        <v>105</v>
      </c>
      <c r="P5" s="98" t="s">
        <v>69</v>
      </c>
      <c r="Q5" s="100" t="s">
        <v>100</v>
      </c>
      <c r="R5" s="101" t="s">
        <v>100</v>
      </c>
      <c r="S5" s="102" t="s">
        <v>106</v>
      </c>
      <c r="T5" s="102" t="s">
        <v>107</v>
      </c>
      <c r="U5" s="102" t="s">
        <v>108</v>
      </c>
      <c r="V5" s="102" t="s">
        <v>109</v>
      </c>
      <c r="W5" s="103" t="s">
        <v>110</v>
      </c>
      <c r="X5" s="102" t="s">
        <v>111</v>
      </c>
      <c r="Y5" s="102" t="s">
        <v>112</v>
      </c>
      <c r="Z5" s="104" t="s">
        <v>100</v>
      </c>
      <c r="AA5" s="105" t="s">
        <v>100</v>
      </c>
    </row>
    <row r="6" spans="2:29" ht="15.75">
      <c r="B6" s="48" t="s">
        <v>78</v>
      </c>
      <c r="C6" s="49"/>
      <c r="D6" s="50"/>
      <c r="E6" s="51">
        <v>3.8063972694825825</v>
      </c>
      <c r="F6" s="51">
        <v>14.620960434962839</v>
      </c>
      <c r="G6" s="52">
        <f t="shared" ref="G6:G16" si="0">SUM(E6:F6)</f>
        <v>18.42735770444542</v>
      </c>
      <c r="H6" s="51">
        <v>4.1564473156704391</v>
      </c>
      <c r="I6" s="53">
        <f>SUM(G6:H6)</f>
        <v>22.583805020115861</v>
      </c>
      <c r="J6" s="54"/>
      <c r="K6" s="55">
        <f>SUM(K7:K16)</f>
        <v>3.090685341428324</v>
      </c>
      <c r="L6" s="55">
        <f>SUM(L7:L16)</f>
        <v>0.41309743261927534</v>
      </c>
      <c r="M6" s="55">
        <f>SUM(M7:M16)</f>
        <v>13.818777608484659</v>
      </c>
      <c r="N6" s="55">
        <f>SUM(N7:N16)</f>
        <v>1.2181328669710285</v>
      </c>
      <c r="O6" s="55">
        <f>SUM(O7:O16)</f>
        <v>0</v>
      </c>
      <c r="P6" s="55"/>
      <c r="Q6" s="56">
        <f>SUM(Q7:Q16)</f>
        <v>18.540693249503285</v>
      </c>
      <c r="R6" s="57">
        <f>SUM(R7:R16)</f>
        <v>41.761572454745419</v>
      </c>
      <c r="S6" s="54"/>
      <c r="T6" s="58">
        <f>SUM(T7:T16)</f>
        <v>4.8440483670333334</v>
      </c>
      <c r="U6" s="59"/>
      <c r="V6" s="59"/>
      <c r="W6" s="59"/>
      <c r="X6" s="58">
        <f>SUM(X7:X16)</f>
        <v>5.026164000000001E-2</v>
      </c>
      <c r="Y6" s="58">
        <f>SUM(Y7:Y16)</f>
        <v>45.943140088676991</v>
      </c>
      <c r="Z6" s="60">
        <f>SUM(S6:Y6)</f>
        <v>50.837450095710324</v>
      </c>
      <c r="AA6" s="61">
        <f>SUM(AA7:AA16)</f>
        <v>52.951046501440167</v>
      </c>
      <c r="AB6" s="106">
        <f>AA6+Z6+R6+Q6+I6</f>
        <v>186.67456732151504</v>
      </c>
    </row>
    <row r="7" spans="2:29" ht="15.75">
      <c r="B7" s="164"/>
      <c r="C7" s="62" t="s">
        <v>79</v>
      </c>
      <c r="D7" s="50"/>
      <c r="E7" s="63">
        <v>0</v>
      </c>
      <c r="F7" s="63">
        <v>0</v>
      </c>
      <c r="G7" s="64">
        <f t="shared" si="0"/>
        <v>0</v>
      </c>
      <c r="H7" s="63">
        <v>0</v>
      </c>
      <c r="I7" s="65">
        <f t="shared" ref="I7:I15" si="1">SUM(G7:H7)</f>
        <v>0</v>
      </c>
      <c r="J7" s="54"/>
      <c r="K7" s="55"/>
      <c r="L7" s="54">
        <v>7.8067213027920989E-4</v>
      </c>
      <c r="M7" s="66">
        <v>2.9046462618696323</v>
      </c>
      <c r="N7" s="66">
        <v>0</v>
      </c>
      <c r="O7" s="66">
        <v>0</v>
      </c>
      <c r="P7" s="54"/>
      <c r="Q7" s="67">
        <f>SUM(K7:P7)</f>
        <v>2.9054269339999115</v>
      </c>
      <c r="R7" s="68">
        <v>7.0816954000000001E-2</v>
      </c>
      <c r="S7" s="54"/>
      <c r="T7" s="54"/>
      <c r="U7" s="54"/>
      <c r="V7" s="54"/>
      <c r="W7" s="54"/>
      <c r="X7" s="54"/>
      <c r="Y7" s="54"/>
      <c r="Z7" s="60"/>
      <c r="AA7" s="69">
        <v>1.4555078534883177</v>
      </c>
      <c r="AB7" s="106">
        <f t="shared" ref="AB7:AB16" si="2">AA7+Z7+R7+Q7+I7</f>
        <v>4.4317517414882293</v>
      </c>
      <c r="AC7" s="107">
        <f>AB7/$AB$6</f>
        <v>2.3740522370437823E-2</v>
      </c>
    </row>
    <row r="8" spans="2:29" ht="15.75">
      <c r="B8" s="164"/>
      <c r="C8" s="70" t="s">
        <v>80</v>
      </c>
      <c r="D8" s="50"/>
      <c r="E8" s="63">
        <v>0.14815715892937906</v>
      </c>
      <c r="F8" s="63">
        <v>12.986272177796074</v>
      </c>
      <c r="G8" s="64">
        <f t="shared" si="0"/>
        <v>13.134429336725454</v>
      </c>
      <c r="H8" s="63">
        <v>4.1443783142634674</v>
      </c>
      <c r="I8" s="65">
        <f t="shared" si="1"/>
        <v>17.27880765098892</v>
      </c>
      <c r="J8" s="54"/>
      <c r="K8" s="66"/>
      <c r="L8" s="54">
        <v>0</v>
      </c>
      <c r="M8" s="66">
        <v>0</v>
      </c>
      <c r="N8" s="66">
        <v>0</v>
      </c>
      <c r="O8" s="66">
        <v>0</v>
      </c>
      <c r="P8" s="66"/>
      <c r="Q8" s="67">
        <f>SUM(K8:P8)</f>
        <v>0</v>
      </c>
      <c r="R8" s="68">
        <v>17.005262796</v>
      </c>
      <c r="S8" s="54"/>
      <c r="T8" s="71"/>
      <c r="U8" s="71"/>
      <c r="V8" s="71"/>
      <c r="W8" s="71"/>
      <c r="X8" s="54"/>
      <c r="Y8" s="54"/>
      <c r="Z8" s="60"/>
      <c r="AA8" s="69">
        <v>8.804267623913411</v>
      </c>
      <c r="AB8" s="106">
        <f t="shared" si="2"/>
        <v>43.088338070902331</v>
      </c>
      <c r="AC8" s="107">
        <f t="shared" ref="AC8:AC16" si="3">AB8/$AB$6</f>
        <v>0.23082061305485729</v>
      </c>
    </row>
    <row r="9" spans="2:29" ht="15.75">
      <c r="B9" s="164"/>
      <c r="C9" s="72" t="s">
        <v>81</v>
      </c>
      <c r="D9" s="50"/>
      <c r="E9" s="63">
        <v>2.2873074466229281E-2</v>
      </c>
      <c r="F9" s="63">
        <v>8.1748481302300724E-2</v>
      </c>
      <c r="G9" s="64">
        <f t="shared" si="0"/>
        <v>0.10462155576853001</v>
      </c>
      <c r="H9" s="63">
        <v>0</v>
      </c>
      <c r="I9" s="65">
        <f t="shared" si="1"/>
        <v>0.10462155576853001</v>
      </c>
      <c r="J9" s="54"/>
      <c r="K9" s="66"/>
      <c r="L9" s="66"/>
      <c r="M9" s="66"/>
      <c r="N9" s="66"/>
      <c r="O9" s="66"/>
      <c r="P9" s="66"/>
      <c r="Q9" s="67"/>
      <c r="R9" s="68">
        <v>0.50210415999999991</v>
      </c>
      <c r="S9" s="54"/>
      <c r="T9" s="71"/>
      <c r="U9" s="71"/>
      <c r="V9" s="71"/>
      <c r="W9" s="71"/>
      <c r="X9" s="54"/>
      <c r="Y9" s="54"/>
      <c r="Z9" s="60"/>
      <c r="AA9" s="69">
        <v>0.37351383264778998</v>
      </c>
      <c r="AB9" s="106">
        <f t="shared" si="2"/>
        <v>0.98023954841631988</v>
      </c>
      <c r="AC9" s="107">
        <f t="shared" si="3"/>
        <v>5.2510610442611863E-3</v>
      </c>
    </row>
    <row r="10" spans="2:29" ht="15.75">
      <c r="B10" s="164"/>
      <c r="C10" s="70" t="s">
        <v>82</v>
      </c>
      <c r="D10" s="50"/>
      <c r="E10" s="63">
        <v>2.2074144310229034E-2</v>
      </c>
      <c r="F10" s="63">
        <v>0.39662190094378097</v>
      </c>
      <c r="G10" s="64">
        <f t="shared" si="0"/>
        <v>0.41869604525401</v>
      </c>
      <c r="H10" s="63">
        <v>9.5499985852520626E-3</v>
      </c>
      <c r="I10" s="65">
        <f t="shared" si="1"/>
        <v>0.42824604383926207</v>
      </c>
      <c r="J10" s="54"/>
      <c r="K10" s="66"/>
      <c r="L10" s="66"/>
      <c r="M10" s="66"/>
      <c r="N10" s="66"/>
      <c r="O10" s="66"/>
      <c r="P10" s="66"/>
      <c r="Q10" s="67"/>
      <c r="R10" s="68">
        <v>5.031075124</v>
      </c>
      <c r="S10" s="54"/>
      <c r="T10" s="54">
        <v>4.8440483670333334</v>
      </c>
      <c r="U10" s="71"/>
      <c r="V10" s="71"/>
      <c r="W10" s="71"/>
      <c r="X10" s="54"/>
      <c r="Y10" s="54">
        <v>45.943140088676991</v>
      </c>
      <c r="Z10" s="60">
        <f>SUM(S10:Y10)</f>
        <v>50.787188455710321</v>
      </c>
      <c r="AA10" s="69">
        <v>9.8191203487797551</v>
      </c>
      <c r="AB10" s="106">
        <f>AA10+Z10+R10+Q10+I10</f>
        <v>66.065629972329347</v>
      </c>
      <c r="AC10" s="107">
        <f t="shared" si="3"/>
        <v>0.35390803857358133</v>
      </c>
    </row>
    <row r="11" spans="2:29" ht="15.75">
      <c r="B11" s="164"/>
      <c r="C11" s="72" t="s">
        <v>83</v>
      </c>
      <c r="D11" s="50"/>
      <c r="E11" s="63">
        <v>0</v>
      </c>
      <c r="F11" s="63">
        <v>2.1427322342938235E-3</v>
      </c>
      <c r="G11" s="64">
        <f t="shared" si="0"/>
        <v>2.1427322342938235E-3</v>
      </c>
      <c r="H11" s="63">
        <v>0</v>
      </c>
      <c r="I11" s="65">
        <f t="shared" si="1"/>
        <v>2.1427322342938235E-3</v>
      </c>
      <c r="J11" s="54"/>
      <c r="K11" s="66"/>
      <c r="L11" s="66"/>
      <c r="M11" s="66"/>
      <c r="N11" s="66"/>
      <c r="O11" s="66"/>
      <c r="P11" s="66"/>
      <c r="Q11" s="67"/>
      <c r="R11" s="68">
        <f>34.0513586277252+Z35-Z49</f>
        <v>14.233416881552031</v>
      </c>
      <c r="S11" s="54"/>
      <c r="T11" s="54"/>
      <c r="U11" s="54"/>
      <c r="V11" s="54"/>
      <c r="W11" s="54"/>
      <c r="X11" s="54"/>
      <c r="Y11" s="54"/>
      <c r="Z11" s="60"/>
      <c r="AA11" s="69">
        <v>2.8374378216732357</v>
      </c>
      <c r="AB11" s="106">
        <f t="shared" si="2"/>
        <v>17.072997435459559</v>
      </c>
      <c r="AC11" s="107">
        <f t="shared" si="3"/>
        <v>9.1458615281289166E-2</v>
      </c>
    </row>
    <row r="12" spans="2:29" ht="15.75">
      <c r="B12" s="164"/>
      <c r="C12" s="70" t="s">
        <v>84</v>
      </c>
      <c r="D12" s="50"/>
      <c r="E12" s="63">
        <v>3.4386680644792516</v>
      </c>
      <c r="F12" s="63">
        <v>1.0806512901621848</v>
      </c>
      <c r="G12" s="64">
        <f t="shared" si="0"/>
        <v>4.5193193546414365</v>
      </c>
      <c r="H12" s="63">
        <v>2.5190028217201609E-3</v>
      </c>
      <c r="I12" s="65">
        <f t="shared" si="1"/>
        <v>4.5218383574631567</v>
      </c>
      <c r="J12" s="54"/>
      <c r="K12" s="66"/>
      <c r="L12" s="66"/>
      <c r="M12" s="66"/>
      <c r="N12" s="66"/>
      <c r="O12" s="66"/>
      <c r="P12" s="66"/>
      <c r="Q12" s="67"/>
      <c r="R12" s="68">
        <v>1.6700024330000001</v>
      </c>
      <c r="S12" s="54"/>
      <c r="T12" s="54"/>
      <c r="U12" s="54"/>
      <c r="V12" s="54"/>
      <c r="W12" s="54"/>
      <c r="X12" s="54"/>
      <c r="Y12" s="54"/>
      <c r="Z12" s="60"/>
      <c r="AA12" s="69">
        <v>1.1621902850259014</v>
      </c>
      <c r="AB12" s="106">
        <f t="shared" si="2"/>
        <v>7.3540310754890577</v>
      </c>
      <c r="AC12" s="107">
        <f t="shared" si="3"/>
        <v>3.9394927659443808E-2</v>
      </c>
    </row>
    <row r="13" spans="2:29" ht="15.75">
      <c r="B13" s="164"/>
      <c r="C13" s="62" t="s">
        <v>85</v>
      </c>
      <c r="D13" s="50"/>
      <c r="E13" s="63">
        <v>0</v>
      </c>
      <c r="F13" s="63">
        <v>7.1554270369448295E-2</v>
      </c>
      <c r="G13" s="64">
        <f t="shared" si="0"/>
        <v>7.1554270369448295E-2</v>
      </c>
      <c r="H13" s="63">
        <v>0</v>
      </c>
      <c r="I13" s="65">
        <f t="shared" si="1"/>
        <v>7.1554270369448295E-2</v>
      </c>
      <c r="J13" s="54"/>
      <c r="K13" s="66"/>
      <c r="L13" s="66">
        <v>0</v>
      </c>
      <c r="M13" s="66">
        <v>0</v>
      </c>
      <c r="N13" s="66">
        <v>0</v>
      </c>
      <c r="O13" s="66">
        <v>0</v>
      </c>
      <c r="P13" s="66"/>
      <c r="Q13" s="67">
        <f>SUM(K13:P13)</f>
        <v>0</v>
      </c>
      <c r="R13" s="68">
        <v>2.3818869061933867</v>
      </c>
      <c r="S13" s="54"/>
      <c r="T13" s="54"/>
      <c r="U13" s="54"/>
      <c r="V13" s="54"/>
      <c r="W13" s="54"/>
      <c r="X13" s="54"/>
      <c r="Y13" s="54"/>
      <c r="Z13" s="60"/>
      <c r="AA13" s="69">
        <v>23.487432247708917</v>
      </c>
      <c r="AB13" s="106">
        <f t="shared" si="2"/>
        <v>25.94087342427175</v>
      </c>
      <c r="AC13" s="107">
        <f t="shared" si="3"/>
        <v>0.13896308316918732</v>
      </c>
    </row>
    <row r="14" spans="2:29" ht="15.75">
      <c r="B14" s="164"/>
      <c r="C14" s="70" t="s">
        <v>86</v>
      </c>
      <c r="D14" s="50"/>
      <c r="E14" s="63">
        <v>0</v>
      </c>
      <c r="F14" s="63">
        <v>1.9695821547549286E-3</v>
      </c>
      <c r="G14" s="64">
        <f t="shared" si="0"/>
        <v>1.9695821547549286E-3</v>
      </c>
      <c r="H14" s="63">
        <v>0</v>
      </c>
      <c r="I14" s="65">
        <f t="shared" si="1"/>
        <v>1.9695821547549286E-3</v>
      </c>
      <c r="J14" s="54"/>
      <c r="K14" s="66"/>
      <c r="L14" s="66"/>
      <c r="M14" s="66"/>
      <c r="N14" s="66"/>
      <c r="O14" s="66"/>
      <c r="P14" s="66"/>
      <c r="Q14" s="67"/>
      <c r="R14" s="68">
        <v>0.26553862899999997</v>
      </c>
      <c r="S14" s="54"/>
      <c r="T14" s="54"/>
      <c r="U14" s="54"/>
      <c r="V14" s="54"/>
      <c r="W14" s="54"/>
      <c r="X14" s="54"/>
      <c r="Y14" s="54"/>
      <c r="Z14" s="60"/>
      <c r="AA14" s="69">
        <v>0.67363525205925479</v>
      </c>
      <c r="AB14" s="106">
        <f t="shared" si="2"/>
        <v>0.94114346321400966</v>
      </c>
      <c r="AC14" s="107">
        <f t="shared" si="3"/>
        <v>5.0416265949771878E-3</v>
      </c>
    </row>
    <row r="15" spans="2:29" ht="15.75">
      <c r="B15" s="164"/>
      <c r="C15" s="70" t="s">
        <v>87</v>
      </c>
      <c r="D15" s="50"/>
      <c r="E15" s="63">
        <v>0</v>
      </c>
      <c r="F15" s="63">
        <v>0</v>
      </c>
      <c r="G15" s="64">
        <f t="shared" si="0"/>
        <v>0</v>
      </c>
      <c r="H15" s="63">
        <v>0</v>
      </c>
      <c r="I15" s="65">
        <f t="shared" si="1"/>
        <v>0</v>
      </c>
      <c r="J15" s="54"/>
      <c r="K15" s="66"/>
      <c r="L15" s="54">
        <v>7.1673046627040247E-3</v>
      </c>
      <c r="M15" s="66">
        <v>3.7220202043313981</v>
      </c>
      <c r="N15" s="66">
        <v>2.1529827179770235E-2</v>
      </c>
      <c r="O15" s="66">
        <v>0</v>
      </c>
      <c r="P15" s="66"/>
      <c r="Q15" s="67">
        <f>SUM(K15:P15)</f>
        <v>3.7507173361738722</v>
      </c>
      <c r="R15" s="68">
        <v>0.44336622499999995</v>
      </c>
      <c r="S15" s="54"/>
      <c r="T15" s="54"/>
      <c r="U15" s="54"/>
      <c r="V15" s="54"/>
      <c r="W15" s="54"/>
      <c r="X15" s="54"/>
      <c r="Y15" s="54"/>
      <c r="Z15" s="60"/>
      <c r="AA15" s="69">
        <v>1.3718334338852582</v>
      </c>
      <c r="AB15" s="106">
        <f t="shared" si="2"/>
        <v>5.5659169950591298</v>
      </c>
      <c r="AC15" s="107">
        <f t="shared" si="3"/>
        <v>2.981615050684858E-2</v>
      </c>
    </row>
    <row r="16" spans="2:29" ht="15">
      <c r="B16" s="164"/>
      <c r="C16" s="70" t="s">
        <v>88</v>
      </c>
      <c r="D16" s="50"/>
      <c r="E16" s="63">
        <v>0.17462482729749387</v>
      </c>
      <c r="F16" s="63">
        <v>0</v>
      </c>
      <c r="G16" s="64">
        <f t="shared" si="0"/>
        <v>0.17462482729749387</v>
      </c>
      <c r="H16" s="63">
        <v>0</v>
      </c>
      <c r="I16" s="65">
        <f>SUM(G16:H16)</f>
        <v>0.17462482729749387</v>
      </c>
      <c r="J16" s="54"/>
      <c r="K16" s="54">
        <v>3.090685341428324</v>
      </c>
      <c r="L16" s="54">
        <v>0.40514945582629208</v>
      </c>
      <c r="M16" s="54">
        <v>7.1921111422836281</v>
      </c>
      <c r="N16" s="54">
        <v>1.1966030397912584</v>
      </c>
      <c r="O16" s="54">
        <v>0</v>
      </c>
      <c r="P16" s="54"/>
      <c r="Q16" s="67">
        <f>SUM(K16:P16)</f>
        <v>11.884548979329502</v>
      </c>
      <c r="R16" s="68">
        <v>0.158102346</v>
      </c>
      <c r="S16" s="54"/>
      <c r="T16" s="54">
        <v>0</v>
      </c>
      <c r="U16" s="54"/>
      <c r="V16" s="54"/>
      <c r="W16" s="54"/>
      <c r="X16" s="54">
        <v>5.026164000000001E-2</v>
      </c>
      <c r="Y16" s="54">
        <v>0</v>
      </c>
      <c r="Z16" s="73">
        <f>SUM(S16:Y16)</f>
        <v>5.026164000000001E-2</v>
      </c>
      <c r="AA16" s="69">
        <v>2.9661078022583296</v>
      </c>
      <c r="AB16" s="106">
        <f t="shared" si="2"/>
        <v>15.233645594885326</v>
      </c>
      <c r="AC16" s="107">
        <f t="shared" si="3"/>
        <v>8.1605361745116428E-2</v>
      </c>
    </row>
    <row r="17" spans="3:29">
      <c r="I17" s="106">
        <f>I6-I8-I10-I11-I13</f>
        <v>4.8030543226839368</v>
      </c>
      <c r="J17" s="106">
        <f t="shared" ref="J17:AA17" si="4">J6-J8-J10-J11-J13</f>
        <v>0</v>
      </c>
      <c r="K17" s="106">
        <f t="shared" si="4"/>
        <v>3.090685341428324</v>
      </c>
      <c r="L17" s="106">
        <f t="shared" si="4"/>
        <v>0.41309743261927534</v>
      </c>
      <c r="M17" s="106">
        <f t="shared" si="4"/>
        <v>13.818777608484659</v>
      </c>
      <c r="N17" s="106">
        <f t="shared" si="4"/>
        <v>1.2181328669710285</v>
      </c>
      <c r="O17" s="106">
        <f t="shared" si="4"/>
        <v>0</v>
      </c>
      <c r="P17" s="106">
        <f t="shared" si="4"/>
        <v>0</v>
      </c>
      <c r="Q17" s="106">
        <f t="shared" si="4"/>
        <v>18.540693249503285</v>
      </c>
      <c r="R17" s="106">
        <f t="shared" si="4"/>
        <v>3.1099307469999999</v>
      </c>
      <c r="S17" s="106">
        <f t="shared" si="4"/>
        <v>0</v>
      </c>
      <c r="T17" s="106">
        <f t="shared" si="4"/>
        <v>0</v>
      </c>
      <c r="U17" s="106">
        <f t="shared" si="4"/>
        <v>0</v>
      </c>
      <c r="V17" s="106">
        <f t="shared" si="4"/>
        <v>0</v>
      </c>
      <c r="W17" s="106">
        <f t="shared" si="4"/>
        <v>0</v>
      </c>
      <c r="X17" s="106">
        <f t="shared" si="4"/>
        <v>5.026164000000001E-2</v>
      </c>
      <c r="Y17" s="106">
        <f t="shared" si="4"/>
        <v>0</v>
      </c>
      <c r="Z17" s="106">
        <f>Z6-Z8-Z10-Z11-Z13</f>
        <v>5.0261640000002217E-2</v>
      </c>
      <c r="AA17" s="106">
        <f t="shared" si="4"/>
        <v>8.0027884593648508</v>
      </c>
      <c r="AB17" s="106">
        <f t="shared" ref="AB17" si="5">AA17+Z17+R17+Q17+I17</f>
        <v>34.506728418552072</v>
      </c>
      <c r="AC17" s="107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>
      <c r="C21" s="27" t="s">
        <v>63</v>
      </c>
      <c r="D21" s="110">
        <f>I8/$AB$8</f>
        <v>0.40100891388654752</v>
      </c>
      <c r="E21" s="110">
        <f>I10/$AB$10</f>
        <v>6.482130633108726E-3</v>
      </c>
      <c r="F21" s="110"/>
      <c r="G21" s="110">
        <f>I13/$AB$13</f>
        <v>2.7583601060440035E-3</v>
      </c>
      <c r="H21" s="110">
        <f>I17/$AB$17</f>
        <v>0.13919181976410258</v>
      </c>
    </row>
    <row r="22" spans="3:29">
      <c r="C22" s="27" t="s">
        <v>113</v>
      </c>
      <c r="D22" s="110"/>
      <c r="E22" s="110"/>
      <c r="F22" s="110"/>
      <c r="G22" s="110"/>
      <c r="H22" s="110">
        <f>L17/$AB$17</f>
        <v>1.1971503864654382E-2</v>
      </c>
    </row>
    <row r="23" spans="3:29">
      <c r="C23" s="27" t="s">
        <v>114</v>
      </c>
      <c r="D23" s="110"/>
      <c r="E23" s="110"/>
      <c r="F23" s="110"/>
      <c r="G23" s="110"/>
      <c r="H23" s="110">
        <f>M17/$AB$17</f>
        <v>0.40046617694000747</v>
      </c>
    </row>
    <row r="24" spans="3:29" ht="15.75">
      <c r="C24" s="27" t="s">
        <v>115</v>
      </c>
      <c r="D24" s="110"/>
      <c r="E24" s="110"/>
      <c r="F24" s="110"/>
      <c r="G24" s="110"/>
      <c r="H24" s="110">
        <f>K17/$AB$17</f>
        <v>8.9567614290743919E-2</v>
      </c>
      <c r="T24" s="160" t="s">
        <v>194</v>
      </c>
      <c r="U24" s="160"/>
      <c r="V24" s="160"/>
      <c r="W24" s="160"/>
      <c r="X24" s="160"/>
    </row>
    <row r="25" spans="3:29">
      <c r="C25" s="27" t="s">
        <v>116</v>
      </c>
      <c r="D25" s="110"/>
      <c r="E25" s="110"/>
      <c r="F25" s="110"/>
      <c r="G25" s="110"/>
      <c r="H25" s="110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7" t="s">
        <v>64</v>
      </c>
      <c r="D26" s="110">
        <f>R8/$AB$8</f>
        <v>0.39466044775311721</v>
      </c>
      <c r="E26" s="110">
        <f>R10/$AB$10</f>
        <v>7.6152685232959927E-2</v>
      </c>
      <c r="F26" s="110">
        <f>R11/$AB$11</f>
        <v>0.83368002223148618</v>
      </c>
      <c r="G26" s="110">
        <f>R13/$AB$13</f>
        <v>9.1819842271184227E-2</v>
      </c>
      <c r="H26" s="110">
        <f>R17/$AB$17</f>
        <v>9.0125343361383059E-2</v>
      </c>
      <c r="T26" s="119" t="s">
        <v>181</v>
      </c>
      <c r="X26" s="134">
        <v>2.0382229345903928</v>
      </c>
      <c r="Y26" s="130">
        <v>-0.36734585359039185</v>
      </c>
      <c r="Z26" s="116">
        <v>-2.1167802000000009</v>
      </c>
      <c r="AA26" s="116">
        <v>0.96633711705984204</v>
      </c>
      <c r="AB26" s="116">
        <v>-3.1217043054219835</v>
      </c>
    </row>
    <row r="27" spans="3:29" ht="15">
      <c r="C27" s="27" t="s">
        <v>65</v>
      </c>
      <c r="D27" s="110"/>
      <c r="E27" s="110">
        <f>T10/$AB$10</f>
        <v>7.3321761543213834E-2</v>
      </c>
      <c r="F27" s="110"/>
      <c r="G27" s="110"/>
      <c r="H27" s="110">
        <f>T17/$AB$17</f>
        <v>0</v>
      </c>
      <c r="T27" s="120"/>
      <c r="X27" s="135"/>
      <c r="Y27" s="131"/>
      <c r="Z27" s="117"/>
      <c r="AA27" s="117"/>
      <c r="AB27" s="117"/>
    </row>
    <row r="28" spans="3:29" ht="45">
      <c r="C28" s="27" t="s">
        <v>66</v>
      </c>
      <c r="D28" s="110"/>
      <c r="E28" s="110"/>
      <c r="F28" s="110"/>
      <c r="G28" s="110"/>
      <c r="H28" s="110">
        <f>X17/$AB$17</f>
        <v>1.4565750595173063E-3</v>
      </c>
      <c r="T28" s="119" t="s">
        <v>182</v>
      </c>
      <c r="X28" s="136">
        <v>77.716219625470927</v>
      </c>
      <c r="Y28" s="132">
        <v>64.999193891344675</v>
      </c>
      <c r="Z28" s="118">
        <v>62.915032068380405</v>
      </c>
      <c r="AA28" s="118">
        <v>54.766343313567376</v>
      </c>
      <c r="AB28" s="118">
        <v>66.081638470526642</v>
      </c>
    </row>
    <row r="29" spans="3:29" ht="15">
      <c r="C29" s="27" t="s">
        <v>67</v>
      </c>
      <c r="D29" s="110"/>
      <c r="E29" s="110">
        <f>Y10/$AB$10</f>
        <v>0.69541666533596402</v>
      </c>
      <c r="F29" s="110"/>
      <c r="G29" s="110"/>
      <c r="H29" s="110">
        <f>Y17/$AB$17</f>
        <v>0</v>
      </c>
      <c r="T29" s="121" t="s">
        <v>183</v>
      </c>
      <c r="X29" s="135">
        <v>54.143077177310005</v>
      </c>
      <c r="Y29" s="131">
        <v>42.084789915409999</v>
      </c>
      <c r="Z29" s="117">
        <v>41.244527158530005</v>
      </c>
      <c r="AA29" s="117">
        <v>36.80840030844</v>
      </c>
      <c r="AB29" s="117">
        <v>46.227542661519998</v>
      </c>
    </row>
    <row r="30" spans="3:29" ht="15">
      <c r="C30" s="109" t="s">
        <v>126</v>
      </c>
      <c r="D30" s="110">
        <f>AA8/$AB$8</f>
        <v>0.20433063836033527</v>
      </c>
      <c r="E30" s="110">
        <f>AA10/$AB$10</f>
        <v>0.14862675725475341</v>
      </c>
      <c r="F30" s="110">
        <f>AA11/$AB$11</f>
        <v>0.16619447360661185</v>
      </c>
      <c r="G30" s="110">
        <f>AA13/$AB$13</f>
        <v>0.90542179762277186</v>
      </c>
      <c r="H30" s="110">
        <f>AA17/$AB$17</f>
        <v>0.23191965237313719</v>
      </c>
      <c r="T30" s="121" t="s">
        <v>184</v>
      </c>
      <c r="X30" s="135">
        <v>16.758524087920467</v>
      </c>
      <c r="Y30" s="131">
        <v>16.157853234758818</v>
      </c>
      <c r="Z30" s="117">
        <v>15.038409515047247</v>
      </c>
      <c r="AA30" s="117">
        <v>12.240350558646668</v>
      </c>
      <c r="AB30" s="117">
        <v>13.531894593865163</v>
      </c>
    </row>
    <row r="31" spans="3:29" ht="15">
      <c r="T31" s="121" t="s">
        <v>185</v>
      </c>
      <c r="X31" s="135">
        <v>0</v>
      </c>
      <c r="Y31" s="131">
        <v>0</v>
      </c>
      <c r="Z31" s="117">
        <v>0</v>
      </c>
      <c r="AA31" s="117">
        <v>0</v>
      </c>
      <c r="AB31" s="117">
        <v>0</v>
      </c>
    </row>
    <row r="32" spans="3:29" ht="15">
      <c r="T32" s="121" t="s">
        <v>186</v>
      </c>
      <c r="X32" s="135">
        <v>5.9043128899999999</v>
      </c>
      <c r="Y32" s="131">
        <v>5.9281003600000002</v>
      </c>
      <c r="Z32" s="117">
        <v>5.8171379999999999</v>
      </c>
      <c r="AA32" s="117">
        <v>5.0784473999999991</v>
      </c>
      <c r="AB32" s="117">
        <v>5.633709733605599</v>
      </c>
    </row>
    <row r="33" spans="4:28" ht="15">
      <c r="T33" s="121" t="s">
        <v>187</v>
      </c>
      <c r="X33" s="135">
        <v>0.91030547024046382</v>
      </c>
      <c r="Y33" s="131">
        <v>0.82845038117585112</v>
      </c>
      <c r="Z33" s="117">
        <v>0.81495739480315321</v>
      </c>
      <c r="AA33" s="117">
        <v>0.63914504648070591</v>
      </c>
      <c r="AB33" s="117">
        <v>0.68849148153587314</v>
      </c>
    </row>
    <row r="34" spans="4:28" ht="15">
      <c r="T34" s="120"/>
      <c r="X34" s="135"/>
      <c r="Y34" s="131"/>
      <c r="Z34" s="117"/>
      <c r="AA34" s="117"/>
      <c r="AB34" s="117"/>
    </row>
    <row r="35" spans="4:28" ht="45">
      <c r="D35" t="s">
        <v>91</v>
      </c>
      <c r="E35" s="127">
        <f>+I6</f>
        <v>22.583805020115861</v>
      </c>
      <c r="T35" s="119" t="s">
        <v>188</v>
      </c>
      <c r="X35" s="136">
        <v>39.574975161907759</v>
      </c>
      <c r="Y35" s="132">
        <v>59.177736467048483</v>
      </c>
      <c r="Z35" s="118">
        <v>50.182058253826831</v>
      </c>
      <c r="AA35" s="118">
        <v>58.151220966927404</v>
      </c>
      <c r="AB35" s="118">
        <v>53.315619379074093</v>
      </c>
    </row>
    <row r="36" spans="4:28" ht="15">
      <c r="D36" t="s">
        <v>92</v>
      </c>
      <c r="E36" s="127">
        <f>+K6+L6+M6+N6</f>
        <v>18.540693249503288</v>
      </c>
      <c r="T36" s="119"/>
      <c r="X36" s="134"/>
      <c r="Y36" s="130"/>
      <c r="Z36" s="116"/>
      <c r="AA36" s="116"/>
      <c r="AB36" s="116"/>
    </row>
    <row r="37" spans="4:28" ht="15">
      <c r="D37" t="s">
        <v>93</v>
      </c>
      <c r="E37" s="127">
        <f>+R6</f>
        <v>41.761572454745419</v>
      </c>
      <c r="T37" s="122" t="s">
        <v>189</v>
      </c>
      <c r="X37" s="136">
        <v>71.02967557163889</v>
      </c>
      <c r="Y37" s="132">
        <v>85.079048295121396</v>
      </c>
      <c r="Z37" s="118">
        <v>78.904893821307112</v>
      </c>
      <c r="AA37" s="118">
        <v>78.815215188483307</v>
      </c>
      <c r="AB37" s="118">
        <v>78.003340655490561</v>
      </c>
    </row>
    <row r="38" spans="4:28" ht="15">
      <c r="D38" t="s">
        <v>208</v>
      </c>
      <c r="E38" s="127">
        <f>+T6+X6</f>
        <v>4.8943100070333339</v>
      </c>
      <c r="T38" s="125" t="s">
        <v>190</v>
      </c>
      <c r="X38" s="136">
        <v>1.5471751140720267</v>
      </c>
      <c r="Y38" s="132">
        <v>1.6317636626851251</v>
      </c>
      <c r="Z38" s="118">
        <v>1.6470706557505701</v>
      </c>
      <c r="AA38" s="118">
        <v>1.2847341990553851</v>
      </c>
      <c r="AB38" s="118">
        <v>1.4496283072096023</v>
      </c>
    </row>
    <row r="39" spans="4:28" ht="15">
      <c r="D39" t="s">
        <v>209</v>
      </c>
      <c r="E39" s="127">
        <f>+Y6</f>
        <v>45.943140088676991</v>
      </c>
      <c r="T39" s="125" t="s">
        <v>78</v>
      </c>
      <c r="X39" s="136">
        <v>55.641565422857511</v>
      </c>
      <c r="Y39" s="132">
        <v>68.15624097676718</v>
      </c>
      <c r="Z39" s="118">
        <v>61.610150546440778</v>
      </c>
      <c r="AA39" s="118">
        <v>63.217824441423268</v>
      </c>
      <c r="AB39" s="118">
        <v>61.87226563507793</v>
      </c>
    </row>
    <row r="40" spans="4:28" ht="15">
      <c r="D40" t="s">
        <v>210</v>
      </c>
      <c r="E40" s="127">
        <f>+AA6</f>
        <v>52.951046501440167</v>
      </c>
      <c r="T40" s="124" t="s">
        <v>80</v>
      </c>
      <c r="X40" s="135">
        <v>15.18115237040664</v>
      </c>
      <c r="Y40" s="131">
        <v>15.824577910016496</v>
      </c>
      <c r="Z40" s="117">
        <v>17.035899059626427</v>
      </c>
      <c r="AA40" s="117">
        <v>14.118604978075174</v>
      </c>
      <c r="AB40" s="117">
        <v>17.192551853744089</v>
      </c>
    </row>
    <row r="41" spans="4:28" ht="15">
      <c r="T41" s="124" t="s">
        <v>191</v>
      </c>
      <c r="X41" s="135">
        <v>5.000357115941938</v>
      </c>
      <c r="Y41" s="131">
        <v>5.1160436691676781</v>
      </c>
      <c r="Z41" s="117">
        <v>5.031075144011643</v>
      </c>
      <c r="AA41" s="117">
        <v>4.5212501921521842</v>
      </c>
      <c r="AB41" s="117">
        <v>5.6801536211444432</v>
      </c>
    </row>
    <row r="42" spans="4:28" ht="15">
      <c r="T42" s="124" t="s">
        <v>83</v>
      </c>
      <c r="X42" s="135">
        <v>27.823853514711431</v>
      </c>
      <c r="Y42" s="131">
        <v>40.152075770044078</v>
      </c>
      <c r="Z42" s="117">
        <v>34.051358637583093</v>
      </c>
      <c r="AA42" s="117">
        <v>39.162192207111154</v>
      </c>
      <c r="AB42" s="117">
        <v>32.852045916266093</v>
      </c>
    </row>
    <row r="43" spans="4:28" ht="15">
      <c r="T43" s="124" t="s">
        <v>85</v>
      </c>
      <c r="X43" s="135">
        <v>4.4774993196405672</v>
      </c>
      <c r="Y43" s="131">
        <v>3.4400338124710972</v>
      </c>
      <c r="Z43" s="117">
        <v>2.3818869146221067</v>
      </c>
      <c r="AA43" s="117">
        <v>2.406604489624371</v>
      </c>
      <c r="AB43" s="117">
        <v>2.4685888689141828</v>
      </c>
    </row>
    <row r="44" spans="4:28" ht="15">
      <c r="T44" s="124" t="s">
        <v>131</v>
      </c>
      <c r="X44" s="135">
        <v>3.1587031021569403</v>
      </c>
      <c r="Y44" s="131">
        <v>3.6235098150678269</v>
      </c>
      <c r="Z44" s="117">
        <v>3.1099307905975113</v>
      </c>
      <c r="AA44" s="117">
        <v>3.0091725744603837</v>
      </c>
      <c r="AB44" s="117">
        <v>3.6789253750091238</v>
      </c>
    </row>
    <row r="45" spans="4:28" ht="15">
      <c r="D45" t="s">
        <v>211</v>
      </c>
      <c r="E45" s="127">
        <f>+F45/SUM($F$45:$F$49)</f>
        <v>0.23082061305485729</v>
      </c>
      <c r="F45" s="106">
        <f>+AB8</f>
        <v>43.088338070902331</v>
      </c>
      <c r="T45" s="125" t="s">
        <v>192</v>
      </c>
      <c r="X45" s="136">
        <v>7.6542766731949392</v>
      </c>
      <c r="Y45" s="132">
        <v>8.7122846781184471</v>
      </c>
      <c r="Z45" s="118">
        <v>8.8440976931023698</v>
      </c>
      <c r="AA45" s="118">
        <v>7.9395342157246169</v>
      </c>
      <c r="AB45" s="118">
        <v>7.9192761048665421</v>
      </c>
    </row>
    <row r="46" spans="4:28" ht="15">
      <c r="D46" t="s">
        <v>212</v>
      </c>
      <c r="E46" s="127">
        <f t="shared" ref="E46:E49" si="7">+F46/SUM($F$45:$F$49)</f>
        <v>0.35390803857358133</v>
      </c>
      <c r="F46" s="106">
        <f>+AB10</f>
        <v>66.065629972329347</v>
      </c>
      <c r="T46" s="125" t="s">
        <v>193</v>
      </c>
      <c r="X46" s="136">
        <v>6.1583528215144181</v>
      </c>
      <c r="Y46" s="132">
        <v>6.5571374575506427</v>
      </c>
      <c r="Z46" s="118">
        <v>6.782916986013384</v>
      </c>
      <c r="AA46" s="118">
        <v>6.3597548922800442</v>
      </c>
      <c r="AB46" s="118">
        <v>6.7531133183364851</v>
      </c>
    </row>
    <row r="47" spans="4:28" ht="15">
      <c r="D47" t="s">
        <v>213</v>
      </c>
      <c r="E47" s="127">
        <f t="shared" si="7"/>
        <v>9.1458615281289166E-2</v>
      </c>
      <c r="F47" s="106">
        <f>+AB11</f>
        <v>17.072997435459559</v>
      </c>
      <c r="T47" s="125" t="s">
        <v>41</v>
      </c>
      <c r="X47" s="136">
        <v>2.8305540000000001E-2</v>
      </c>
      <c r="Y47" s="132">
        <v>2.1621520000000002E-2</v>
      </c>
      <c r="Z47" s="118">
        <v>2.0657940000000003E-2</v>
      </c>
      <c r="AA47" s="118">
        <v>1.336744E-2</v>
      </c>
      <c r="AB47" s="118">
        <v>9.0572900000000008E-3</v>
      </c>
    </row>
    <row r="48" spans="4:28">
      <c r="D48" t="s">
        <v>214</v>
      </c>
      <c r="E48" s="127">
        <f t="shared" si="7"/>
        <v>0.13896308316918732</v>
      </c>
      <c r="F48" s="106">
        <f>+AB13</f>
        <v>25.94087342427175</v>
      </c>
    </row>
    <row r="49" spans="4:28" ht="15">
      <c r="D49" t="s">
        <v>215</v>
      </c>
      <c r="E49" s="127">
        <f t="shared" si="7"/>
        <v>0.18484964992108502</v>
      </c>
      <c r="F49" s="106">
        <f>+AB17</f>
        <v>34.506728418552072</v>
      </c>
      <c r="T49" s="137" t="s">
        <v>199</v>
      </c>
      <c r="W49" s="126" t="s">
        <v>46</v>
      </c>
      <c r="X49" s="136">
        <v>53</v>
      </c>
      <c r="Y49" s="136">
        <v>82.6</v>
      </c>
      <c r="Z49" s="136">
        <v>70</v>
      </c>
    </row>
    <row r="50" spans="4:28" ht="15">
      <c r="W50" s="126" t="s">
        <v>200</v>
      </c>
      <c r="X50" s="136">
        <v>48.3</v>
      </c>
      <c r="Y50" s="136">
        <v>65</v>
      </c>
    </row>
    <row r="51" spans="4:28" ht="15">
      <c r="W51" s="126" t="s">
        <v>201</v>
      </c>
      <c r="X51" s="136">
        <v>4.7</v>
      </c>
      <c r="Y51" s="136">
        <v>17.600000000000001</v>
      </c>
    </row>
    <row r="52" spans="4:28" ht="15">
      <c r="T52" s="125" t="s">
        <v>195</v>
      </c>
      <c r="W52" s="126" t="s">
        <v>196</v>
      </c>
      <c r="X52">
        <f>0.818+0.49+0.111</f>
        <v>1.4189999999999998</v>
      </c>
      <c r="Y52">
        <f>0.822+0.911+0.463</f>
        <v>2.1960000000000002</v>
      </c>
      <c r="Z52" s="123">
        <v>1.8560000000000001</v>
      </c>
      <c r="AA52" s="123">
        <v>2.181</v>
      </c>
      <c r="AB52" s="123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6">
        <v>0.111</v>
      </c>
      <c r="Y54" s="136">
        <v>0.46300000000000002</v>
      </c>
    </row>
    <row r="55" spans="4:28" ht="15">
      <c r="T55" s="137" t="s">
        <v>197</v>
      </c>
      <c r="W55" s="126" t="s">
        <v>198</v>
      </c>
      <c r="X55" s="127">
        <f>+X35/X52</f>
        <v>27.889341199371223</v>
      </c>
      <c r="Y55" s="127">
        <f>+Y35/Y52</f>
        <v>26.947967425796211</v>
      </c>
      <c r="Z55" s="127">
        <f>+Z35/Z52</f>
        <v>27.037746904001523</v>
      </c>
      <c r="AA55" s="127">
        <f>+AA35/AA52</f>
        <v>26.6626414337127</v>
      </c>
      <c r="AB55" s="127">
        <f>+AB35/AB52</f>
        <v>27.439845280017547</v>
      </c>
    </row>
    <row r="56" spans="4:28">
      <c r="T56" s="126" t="s">
        <v>202</v>
      </c>
      <c r="W56" s="126" t="s">
        <v>198</v>
      </c>
      <c r="X56">
        <f>+(X49-X35)/X52</f>
        <v>9.4609054532010166</v>
      </c>
      <c r="Y56" s="111">
        <f t="shared" ref="Y56:Z56" si="8">+(Y49-Y35)/Y52</f>
        <v>10.665875925752054</v>
      </c>
      <c r="Z56" s="111">
        <f t="shared" si="8"/>
        <v>10.677770337377785</v>
      </c>
    </row>
    <row r="57" spans="4:28">
      <c r="X57" s="127"/>
      <c r="Y57" s="127"/>
    </row>
    <row r="58" spans="4:28">
      <c r="I58" t="s">
        <v>216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7"/>
  <sheetViews>
    <sheetView zoomScale="85" zoomScaleNormal="85" workbookViewId="0">
      <selection activeCell="O37" sqref="O37"/>
    </sheetView>
  </sheetViews>
  <sheetFormatPr defaultRowHeight="12.75"/>
  <cols>
    <col min="1" max="1" width="10.42578125" style="4" customWidth="1"/>
    <col min="2" max="2" width="16.140625" style="4" customWidth="1"/>
    <col min="3" max="3" width="10.42578125" style="4" customWidth="1"/>
    <col min="4" max="4" width="15.285156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393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5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2" t="s">
        <v>7</v>
      </c>
      <c r="C6" s="23" t="s">
        <v>28</v>
      </c>
      <c r="D6" s="22" t="s">
        <v>0</v>
      </c>
      <c r="E6" s="22" t="s">
        <v>3</v>
      </c>
      <c r="F6" s="22" t="s">
        <v>4</v>
      </c>
      <c r="G6" s="22" t="s">
        <v>8</v>
      </c>
      <c r="H6" s="22" t="s">
        <v>9</v>
      </c>
      <c r="I6" s="22" t="s">
        <v>10</v>
      </c>
      <c r="J6" s="22" t="s">
        <v>12</v>
      </c>
    </row>
    <row r="7" spans="2:10" ht="33.75" customHeight="1">
      <c r="B7" s="24" t="s">
        <v>33</v>
      </c>
      <c r="C7" s="24" t="s">
        <v>29</v>
      </c>
      <c r="D7" s="24" t="s">
        <v>24</v>
      </c>
      <c r="E7" s="24" t="s">
        <v>25</v>
      </c>
      <c r="F7" s="24" t="s">
        <v>4</v>
      </c>
      <c r="G7" s="24" t="s">
        <v>36</v>
      </c>
      <c r="H7" s="24" t="s">
        <v>37</v>
      </c>
      <c r="I7" s="24" t="s">
        <v>26</v>
      </c>
      <c r="J7" s="24" t="s">
        <v>27</v>
      </c>
    </row>
    <row r="8" spans="2:10" ht="15.75" customHeight="1">
      <c r="B8" s="29" t="s">
        <v>42</v>
      </c>
      <c r="C8" s="29"/>
      <c r="D8" s="27" t="s">
        <v>63</v>
      </c>
      <c r="E8" s="28" t="s">
        <v>117</v>
      </c>
      <c r="F8" s="29" t="s">
        <v>46</v>
      </c>
      <c r="G8" s="29" t="s">
        <v>203</v>
      </c>
      <c r="H8" s="29"/>
      <c r="I8" s="29"/>
      <c r="J8" s="29"/>
    </row>
    <row r="9" spans="2:10" ht="15.75" customHeight="1">
      <c r="B9" s="29" t="s">
        <v>42</v>
      </c>
      <c r="C9" s="29"/>
      <c r="D9" s="27" t="s">
        <v>113</v>
      </c>
      <c r="E9" s="28" t="s">
        <v>118</v>
      </c>
      <c r="F9" s="29" t="s">
        <v>46</v>
      </c>
      <c r="G9" s="29" t="s">
        <v>203</v>
      </c>
      <c r="H9" s="29"/>
      <c r="I9" s="29"/>
      <c r="J9" s="29"/>
    </row>
    <row r="10" spans="2:10" ht="15.75" customHeight="1">
      <c r="B10" s="29" t="s">
        <v>42</v>
      </c>
      <c r="C10" s="29"/>
      <c r="D10" s="27" t="s">
        <v>114</v>
      </c>
      <c r="E10" s="28" t="s">
        <v>119</v>
      </c>
      <c r="F10" s="29" t="s">
        <v>46</v>
      </c>
      <c r="G10" s="29" t="s">
        <v>203</v>
      </c>
      <c r="H10" s="29"/>
      <c r="I10" s="29"/>
      <c r="J10" s="29"/>
    </row>
    <row r="11" spans="2:10" ht="15.75" customHeight="1">
      <c r="B11" s="29" t="s">
        <v>42</v>
      </c>
      <c r="C11" s="29"/>
      <c r="D11" s="27" t="s">
        <v>115</v>
      </c>
      <c r="E11" s="28" t="s">
        <v>120</v>
      </c>
      <c r="F11" s="29" t="s">
        <v>46</v>
      </c>
      <c r="G11" s="29" t="s">
        <v>203</v>
      </c>
      <c r="H11" s="29"/>
      <c r="I11" s="29"/>
      <c r="J11" s="29"/>
    </row>
    <row r="12" spans="2:10" ht="15.75" customHeight="1">
      <c r="B12" s="29" t="s">
        <v>42</v>
      </c>
      <c r="C12" s="29"/>
      <c r="D12" s="27" t="s">
        <v>116</v>
      </c>
      <c r="E12" s="28" t="s">
        <v>121</v>
      </c>
      <c r="F12" s="29" t="s">
        <v>46</v>
      </c>
      <c r="G12" s="29" t="s">
        <v>203</v>
      </c>
      <c r="H12" s="29"/>
      <c r="I12" s="29"/>
      <c r="J12" s="29"/>
    </row>
    <row r="13" spans="2:10" ht="15.75" customHeight="1">
      <c r="B13" s="29" t="s">
        <v>42</v>
      </c>
      <c r="C13" s="29"/>
      <c r="D13" s="27" t="s">
        <v>65</v>
      </c>
      <c r="E13" s="28" t="s">
        <v>122</v>
      </c>
      <c r="F13" s="29" t="s">
        <v>46</v>
      </c>
      <c r="G13" s="29" t="s">
        <v>203</v>
      </c>
      <c r="H13" s="29"/>
      <c r="I13" s="29"/>
      <c r="J13" s="29"/>
    </row>
    <row r="14" spans="2:10" ht="15.75" customHeight="1">
      <c r="B14" s="29" t="s">
        <v>42</v>
      </c>
      <c r="C14" s="29"/>
      <c r="D14" s="27" t="s">
        <v>66</v>
      </c>
      <c r="E14" s="28" t="s">
        <v>123</v>
      </c>
      <c r="F14" s="29" t="s">
        <v>46</v>
      </c>
      <c r="G14" s="29" t="s">
        <v>203</v>
      </c>
      <c r="H14" s="29"/>
      <c r="I14" s="29"/>
      <c r="J14" s="29"/>
    </row>
    <row r="15" spans="2:10" ht="15.75" customHeight="1">
      <c r="B15" s="29" t="s">
        <v>42</v>
      </c>
      <c r="C15" s="29"/>
      <c r="D15" s="27" t="s">
        <v>67</v>
      </c>
      <c r="E15" s="28" t="s">
        <v>124</v>
      </c>
      <c r="F15" s="29" t="s">
        <v>46</v>
      </c>
      <c r="G15" s="29" t="s">
        <v>203</v>
      </c>
      <c r="H15" s="29"/>
      <c r="I15" s="29"/>
      <c r="J15" s="29"/>
    </row>
    <row r="16" spans="2:10" ht="15.75" customHeight="1">
      <c r="B16" s="29" t="s">
        <v>42</v>
      </c>
      <c r="C16" s="29"/>
      <c r="D16" s="27" t="s">
        <v>391</v>
      </c>
      <c r="E16" s="28" t="s">
        <v>392</v>
      </c>
      <c r="F16" s="29" t="s">
        <v>46</v>
      </c>
      <c r="G16" s="29" t="s">
        <v>203</v>
      </c>
      <c r="H16" s="29"/>
      <c r="I16" s="29"/>
      <c r="J16" s="29"/>
    </row>
    <row r="17" spans="2:20" ht="15.75" customHeight="1">
      <c r="B17" s="29" t="s">
        <v>174</v>
      </c>
      <c r="C17" s="29"/>
      <c r="D17" s="27" t="s">
        <v>125</v>
      </c>
      <c r="E17" s="28" t="s">
        <v>175</v>
      </c>
      <c r="F17" s="29" t="s">
        <v>176</v>
      </c>
      <c r="G17" s="29"/>
      <c r="H17" s="29"/>
      <c r="I17" s="29"/>
      <c r="J17" s="29"/>
    </row>
    <row r="18" spans="2:20" ht="15.75" customHeight="1">
      <c r="B18" s="133"/>
      <c r="C18" s="133"/>
      <c r="D18" s="129"/>
      <c r="E18" s="128"/>
      <c r="F18" s="133"/>
      <c r="G18" s="133"/>
      <c r="H18" s="133"/>
      <c r="I18" s="133"/>
      <c r="J18" s="133"/>
      <c r="L18" s="13"/>
      <c r="M18" s="14"/>
    </row>
    <row r="19" spans="2:20" ht="15.75" customHeight="1">
      <c r="E19" s="15"/>
      <c r="F19" s="15"/>
    </row>
    <row r="20" spans="2:20" ht="15.75" customHeight="1">
      <c r="D20" s="47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178</v>
      </c>
      <c r="F21" s="17" t="s">
        <v>217</v>
      </c>
      <c r="G21" s="17" t="s">
        <v>179</v>
      </c>
      <c r="H21" s="18" t="s">
        <v>207</v>
      </c>
      <c r="I21" s="18" t="s">
        <v>49</v>
      </c>
      <c r="J21" s="18" t="s">
        <v>47</v>
      </c>
      <c r="K21" s="18" t="s">
        <v>218</v>
      </c>
      <c r="L21" s="18" t="s">
        <v>177</v>
      </c>
      <c r="M21" s="18" t="s">
        <v>180</v>
      </c>
      <c r="N21" s="18" t="s">
        <v>204</v>
      </c>
      <c r="O21" s="18" t="s">
        <v>241</v>
      </c>
    </row>
    <row r="22" spans="2:20" ht="15.75" customHeight="1">
      <c r="B22" s="25" t="s">
        <v>35</v>
      </c>
      <c r="C22" s="25" t="s">
        <v>30</v>
      </c>
      <c r="D22" s="25" t="s">
        <v>31</v>
      </c>
      <c r="E22" s="25" t="s">
        <v>60</v>
      </c>
      <c r="F22" s="25" t="s">
        <v>60</v>
      </c>
      <c r="G22" s="25" t="s">
        <v>60</v>
      </c>
      <c r="H22" s="25" t="s">
        <v>32</v>
      </c>
      <c r="I22" s="25" t="s">
        <v>50</v>
      </c>
      <c r="J22" s="25" t="s">
        <v>62</v>
      </c>
      <c r="K22" s="25" t="s">
        <v>50</v>
      </c>
      <c r="L22" s="25" t="s">
        <v>50</v>
      </c>
      <c r="M22" s="25"/>
      <c r="N22" s="25" t="s">
        <v>205</v>
      </c>
      <c r="O22" s="25"/>
    </row>
    <row r="23" spans="2:20" ht="15.75" customHeight="1">
      <c r="B23" s="25" t="s">
        <v>51</v>
      </c>
      <c r="C23" s="25"/>
      <c r="D23" s="25"/>
      <c r="E23" s="25"/>
      <c r="F23" s="25"/>
      <c r="G23" s="25"/>
      <c r="H23" s="25"/>
      <c r="I23" s="25"/>
      <c r="J23" s="25" t="s">
        <v>52</v>
      </c>
      <c r="K23" s="25"/>
      <c r="L23" s="25"/>
      <c r="M23" s="25"/>
      <c r="N23" s="25" t="s">
        <v>206</v>
      </c>
      <c r="O23" s="25"/>
    </row>
    <row r="24" spans="2:20" ht="15.75" customHeight="1">
      <c r="B24" s="35" t="str">
        <f>D39</f>
        <v>FTE-INDCOA_00</v>
      </c>
      <c r="C24" s="34" t="s">
        <v>40</v>
      </c>
      <c r="D24" s="27" t="s">
        <v>63</v>
      </c>
      <c r="E24" s="108">
        <f>IND_data!G6/IND_data!I6*1.1</f>
        <v>0.89754996807823006</v>
      </c>
      <c r="F24" s="108">
        <v>1</v>
      </c>
      <c r="G24" s="108"/>
      <c r="H24" s="33"/>
      <c r="I24" s="32">
        <v>1</v>
      </c>
      <c r="J24" s="30">
        <v>100</v>
      </c>
    </row>
    <row r="25" spans="2:20" ht="15.75" customHeight="1">
      <c r="C25" s="34" t="s">
        <v>68</v>
      </c>
      <c r="D25" s="27"/>
      <c r="E25" s="108">
        <f>1-E24</f>
        <v>0.10245003192176994</v>
      </c>
      <c r="F25" s="108">
        <f>+E25</f>
        <v>0.10245003192176994</v>
      </c>
      <c r="G25" s="108"/>
      <c r="H25" s="33"/>
      <c r="I25" s="32">
        <v>1</v>
      </c>
      <c r="J25" s="30">
        <v>100</v>
      </c>
    </row>
    <row r="26" spans="2:20" ht="15.75" customHeight="1">
      <c r="B26" s="35" t="str">
        <f>D40</f>
        <v>FTE-INDPET_00</v>
      </c>
      <c r="C26" s="34" t="str">
        <f>RIGHT(D26,3)</f>
        <v>PET</v>
      </c>
      <c r="D26" s="27" t="str">
        <f t="shared" ref="D26:D32" si="0">+D9</f>
        <v>INDPET</v>
      </c>
      <c r="E26" s="33"/>
      <c r="F26" s="33"/>
      <c r="G26" s="33"/>
      <c r="H26" s="33"/>
      <c r="I26" s="32">
        <v>1</v>
      </c>
      <c r="J26" s="30">
        <v>100</v>
      </c>
      <c r="N26" s="152">
        <v>0.92</v>
      </c>
    </row>
    <row r="27" spans="2:20" ht="15.75" customHeight="1">
      <c r="B27" s="35" t="str">
        <f>D41</f>
        <v>FTE-INDDSL_00</v>
      </c>
      <c r="C27" s="34" t="str">
        <f t="shared" ref="C27:C32" si="1">RIGHT(D27,3)</f>
        <v>DSL</v>
      </c>
      <c r="D27" s="27" t="str">
        <f t="shared" si="0"/>
        <v>INDDSL</v>
      </c>
      <c r="E27" s="33"/>
      <c r="F27" s="33"/>
      <c r="G27" s="33"/>
      <c r="H27" s="33"/>
      <c r="I27" s="32">
        <v>1</v>
      </c>
      <c r="J27" s="30">
        <v>100</v>
      </c>
      <c r="N27" s="152">
        <v>0.92</v>
      </c>
    </row>
    <row r="28" spans="2:20" ht="15.75" customHeight="1">
      <c r="B28" s="35" t="str">
        <f t="shared" ref="B28:B29" si="2">D42</f>
        <v>FTE-INDLPG_00</v>
      </c>
      <c r="C28" s="34" t="str">
        <f t="shared" si="1"/>
        <v>LPG</v>
      </c>
      <c r="D28" s="27" t="str">
        <f t="shared" si="0"/>
        <v>INDLPG</v>
      </c>
      <c r="E28" s="33"/>
      <c r="F28" s="33"/>
      <c r="G28" s="33"/>
      <c r="H28" s="33"/>
      <c r="I28" s="32">
        <v>1</v>
      </c>
      <c r="J28" s="30">
        <v>100</v>
      </c>
      <c r="N28" s="152"/>
    </row>
    <row r="29" spans="2:20" ht="15.75" customHeight="1">
      <c r="B29" s="35" t="str">
        <f t="shared" si="2"/>
        <v>FTE-INDFOL_00</v>
      </c>
      <c r="C29" s="34" t="str">
        <f t="shared" si="1"/>
        <v>FOL</v>
      </c>
      <c r="D29" s="27" t="str">
        <f t="shared" si="0"/>
        <v>INDFOL</v>
      </c>
      <c r="E29" s="33"/>
      <c r="F29" s="33"/>
      <c r="G29" s="33"/>
      <c r="H29" s="33"/>
      <c r="I29" s="32">
        <v>1</v>
      </c>
      <c r="J29" s="30">
        <v>100</v>
      </c>
      <c r="L29" s="9"/>
      <c r="M29" s="9"/>
      <c r="N29" s="153">
        <v>0.92</v>
      </c>
      <c r="O29" s="9"/>
      <c r="P29" s="9"/>
      <c r="Q29" s="9"/>
      <c r="R29" s="9"/>
      <c r="S29" s="9"/>
      <c r="T29" s="9"/>
    </row>
    <row r="30" spans="2:20" ht="15.75" customHeight="1">
      <c r="B30" s="35" t="str">
        <f>D44</f>
        <v>FTE-INDGEO_00</v>
      </c>
      <c r="C30" s="34" t="str">
        <f t="shared" si="1"/>
        <v>GEO</v>
      </c>
      <c r="D30" s="27" t="str">
        <f t="shared" si="0"/>
        <v>INDGEO</v>
      </c>
      <c r="E30" s="33"/>
      <c r="F30" s="33"/>
      <c r="G30" s="33"/>
      <c r="H30" s="33"/>
      <c r="I30" s="32">
        <v>1</v>
      </c>
      <c r="J30" s="30">
        <v>100</v>
      </c>
      <c r="L30" s="19"/>
      <c r="M30" s="19"/>
      <c r="N30" s="9"/>
      <c r="O30" s="9"/>
      <c r="P30" s="9"/>
      <c r="Q30" s="9"/>
      <c r="R30" s="9"/>
      <c r="S30" s="9"/>
      <c r="T30" s="9"/>
    </row>
    <row r="31" spans="2:20" ht="15.75" customHeight="1">
      <c r="B31" s="35" t="str">
        <f>D45</f>
        <v>FTE-INDBIG_00</v>
      </c>
      <c r="C31" s="34" t="str">
        <f t="shared" si="1"/>
        <v>BIG</v>
      </c>
      <c r="D31" s="27" t="str">
        <f t="shared" si="0"/>
        <v>INDBIG</v>
      </c>
      <c r="E31" s="33"/>
      <c r="F31" s="33"/>
      <c r="G31" s="33"/>
      <c r="H31" s="33"/>
      <c r="I31" s="32">
        <v>1</v>
      </c>
      <c r="J31" s="30">
        <v>100</v>
      </c>
      <c r="L31" s="20"/>
      <c r="M31" s="20"/>
      <c r="N31" s="9"/>
      <c r="O31" s="9"/>
      <c r="P31" s="9"/>
      <c r="Q31" s="9"/>
      <c r="R31" s="20"/>
      <c r="S31" s="20"/>
      <c r="T31" s="9"/>
    </row>
    <row r="32" spans="2:20" ht="15.75" customHeight="1">
      <c r="B32" s="35" t="str">
        <f>D46</f>
        <v>FTE-INDWOD_00</v>
      </c>
      <c r="C32" s="34" t="str">
        <f t="shared" si="1"/>
        <v>WOD</v>
      </c>
      <c r="D32" s="27" t="str">
        <f t="shared" si="0"/>
        <v>INDWOD</v>
      </c>
      <c r="E32" s="33"/>
      <c r="F32" s="33"/>
      <c r="G32" s="33"/>
      <c r="H32" s="33"/>
      <c r="I32" s="32">
        <v>1</v>
      </c>
      <c r="J32" s="30">
        <v>100</v>
      </c>
    </row>
    <row r="33" spans="2:14" ht="15.75" customHeight="1">
      <c r="B33" s="35" t="str">
        <f>D47</f>
        <v>FTE-INDPLT_00</v>
      </c>
      <c r="C33" s="34" t="str">
        <f t="shared" ref="C33" si="3">RIGHT(D33,3)</f>
        <v>PLT</v>
      </c>
      <c r="D33" s="27" t="str">
        <f>+D16</f>
        <v>INDPLT</v>
      </c>
      <c r="E33" s="33"/>
      <c r="F33" s="33"/>
      <c r="G33" s="33"/>
      <c r="H33" s="33"/>
      <c r="I33" s="32">
        <v>1</v>
      </c>
      <c r="J33" s="30">
        <v>100</v>
      </c>
    </row>
    <row r="34" spans="2:14" ht="15.75" customHeight="1">
      <c r="E34" s="115"/>
      <c r="F34" s="115"/>
      <c r="G34" s="115"/>
      <c r="N34" s="138"/>
    </row>
    <row r="35" spans="2:14" ht="15.75" customHeight="1">
      <c r="B35" s="46" t="s">
        <v>13</v>
      </c>
      <c r="C35" s="7"/>
      <c r="D35" s="8"/>
      <c r="E35" s="8"/>
      <c r="F35" s="8"/>
      <c r="G35" s="8"/>
      <c r="H35" s="8"/>
      <c r="I35" s="8"/>
      <c r="J35" s="8"/>
    </row>
    <row r="36" spans="2:14" ht="15.75" customHeight="1">
      <c r="B36" s="10" t="s">
        <v>11</v>
      </c>
      <c r="C36" s="11" t="s">
        <v>28</v>
      </c>
      <c r="D36" s="10" t="s">
        <v>1</v>
      </c>
      <c r="E36" s="10" t="s">
        <v>2</v>
      </c>
      <c r="F36" s="10" t="s">
        <v>14</v>
      </c>
      <c r="G36" s="10" t="s">
        <v>15</v>
      </c>
      <c r="H36" s="10" t="s">
        <v>16</v>
      </c>
      <c r="I36" s="10" t="s">
        <v>17</v>
      </c>
      <c r="J36" s="10" t="s">
        <v>18</v>
      </c>
    </row>
    <row r="37" spans="2:14" ht="15.75" customHeight="1" thickBot="1">
      <c r="B37" s="12" t="s">
        <v>34</v>
      </c>
      <c r="C37" s="12" t="s">
        <v>29</v>
      </c>
      <c r="D37" s="12" t="s">
        <v>19</v>
      </c>
      <c r="E37" s="12" t="s">
        <v>20</v>
      </c>
      <c r="F37" s="12" t="s">
        <v>21</v>
      </c>
      <c r="G37" s="12" t="s">
        <v>22</v>
      </c>
      <c r="H37" s="12" t="s">
        <v>39</v>
      </c>
      <c r="I37" s="12" t="s">
        <v>38</v>
      </c>
      <c r="J37" s="12" t="s">
        <v>23</v>
      </c>
    </row>
    <row r="38" spans="2:14" ht="15.75" customHeight="1">
      <c r="B38" s="21" t="s">
        <v>48</v>
      </c>
      <c r="C38" s="21"/>
      <c r="D38" s="21"/>
      <c r="E38" s="21"/>
      <c r="F38" s="21"/>
      <c r="G38" s="21"/>
      <c r="H38" s="21"/>
      <c r="I38" s="21"/>
      <c r="J38" s="21"/>
    </row>
    <row r="39" spans="2:14" ht="15.75" customHeight="1">
      <c r="B39" s="26" t="s">
        <v>57</v>
      </c>
      <c r="C39" s="26"/>
      <c r="D39" s="35" t="str">
        <f t="shared" ref="D39:D47" si="4">"FTE-"&amp;D8&amp;"_00"</f>
        <v>FTE-INDCOA_00</v>
      </c>
      <c r="E39" s="31" t="str">
        <f t="shared" ref="E39:E47" si="5">"Existing fuel technology "&amp;E8</f>
        <v>Existing fuel technology Industrial Coal</v>
      </c>
      <c r="F39" s="26" t="s">
        <v>46</v>
      </c>
      <c r="G39" s="26" t="s">
        <v>71</v>
      </c>
      <c r="H39" s="26"/>
      <c r="I39" s="26"/>
      <c r="J39" s="26"/>
    </row>
    <row r="40" spans="2:14" ht="15.75" customHeight="1">
      <c r="B40" s="26" t="s">
        <v>57</v>
      </c>
      <c r="C40" s="26"/>
      <c r="D40" s="35" t="str">
        <f t="shared" si="4"/>
        <v>FTE-INDPET_00</v>
      </c>
      <c r="E40" s="31" t="str">
        <f t="shared" si="5"/>
        <v>Existing fuel technology Industrial Petroleum</v>
      </c>
      <c r="F40" s="26" t="s">
        <v>46</v>
      </c>
      <c r="G40" s="26" t="s">
        <v>71</v>
      </c>
      <c r="H40" s="26"/>
      <c r="I40" s="26"/>
      <c r="J40" s="26"/>
    </row>
    <row r="41" spans="2:14" ht="15.75" customHeight="1">
      <c r="B41" s="26" t="s">
        <v>57</v>
      </c>
      <c r="C41" s="26"/>
      <c r="D41" s="35" t="str">
        <f t="shared" si="4"/>
        <v>FTE-INDDSL_00</v>
      </c>
      <c r="E41" s="31" t="str">
        <f t="shared" si="5"/>
        <v>Existing fuel technology Industrial Diesel</v>
      </c>
      <c r="F41" s="26" t="s">
        <v>46</v>
      </c>
      <c r="G41" s="26" t="s">
        <v>71</v>
      </c>
      <c r="H41" s="26"/>
      <c r="I41" s="26"/>
      <c r="J41" s="26"/>
    </row>
    <row r="42" spans="2:14" ht="15.75" customHeight="1">
      <c r="B42" s="26" t="s">
        <v>57</v>
      </c>
      <c r="C42" s="26"/>
      <c r="D42" s="35" t="str">
        <f t="shared" si="4"/>
        <v>FTE-INDLPG_00</v>
      </c>
      <c r="E42" s="31" t="str">
        <f t="shared" si="5"/>
        <v>Existing fuel technology Industrial LPG</v>
      </c>
      <c r="F42" s="26" t="s">
        <v>46</v>
      </c>
      <c r="G42" s="26" t="s">
        <v>71</v>
      </c>
      <c r="H42" s="26"/>
      <c r="I42" s="26"/>
      <c r="J42" s="26"/>
    </row>
    <row r="43" spans="2:14" ht="15.75" customHeight="1">
      <c r="B43" s="26" t="s">
        <v>57</v>
      </c>
      <c r="C43" s="26"/>
      <c r="D43" s="35" t="str">
        <f t="shared" si="4"/>
        <v>FTE-INDFOL_00</v>
      </c>
      <c r="E43" s="31" t="str">
        <f t="shared" si="5"/>
        <v>Existing fuel technology Industrial Fuel oil</v>
      </c>
      <c r="F43" s="26" t="s">
        <v>46</v>
      </c>
      <c r="G43" s="26" t="s">
        <v>71</v>
      </c>
      <c r="H43" s="26"/>
      <c r="I43" s="26"/>
      <c r="J43" s="26"/>
    </row>
    <row r="44" spans="2:14" ht="15.75" customHeight="1">
      <c r="B44" s="26" t="s">
        <v>57</v>
      </c>
      <c r="C44" s="26"/>
      <c r="D44" s="35" t="str">
        <f t="shared" si="4"/>
        <v>FTE-INDGEO_00</v>
      </c>
      <c r="E44" s="31" t="str">
        <f t="shared" si="5"/>
        <v>Existing fuel technology Industrial Geothermal</v>
      </c>
      <c r="F44" s="26" t="s">
        <v>46</v>
      </c>
      <c r="G44" s="26" t="s">
        <v>71</v>
      </c>
      <c r="H44" s="26"/>
      <c r="I44" s="26"/>
      <c r="J44" s="26"/>
    </row>
    <row r="45" spans="2:14" ht="15.75" customHeight="1">
      <c r="B45" s="26" t="s">
        <v>57</v>
      </c>
      <c r="C45" s="26"/>
      <c r="D45" s="35" t="str">
        <f t="shared" si="4"/>
        <v>FTE-INDBIG_00</v>
      </c>
      <c r="E45" s="31" t="str">
        <f t="shared" si="5"/>
        <v>Existing fuel technology Industrial Biogas</v>
      </c>
      <c r="F45" s="26" t="s">
        <v>46</v>
      </c>
      <c r="G45" s="26" t="s">
        <v>71</v>
      </c>
      <c r="H45" s="26"/>
      <c r="I45" s="26"/>
      <c r="J45" s="26"/>
    </row>
    <row r="46" spans="2:14" ht="15.75" customHeight="1">
      <c r="B46" s="26" t="s">
        <v>57</v>
      </c>
      <c r="C46" s="26"/>
      <c r="D46" s="35" t="str">
        <f t="shared" si="4"/>
        <v>FTE-INDWOD_00</v>
      </c>
      <c r="E46" s="31" t="str">
        <f t="shared" si="5"/>
        <v>Existing fuel technology Industrial Wood</v>
      </c>
      <c r="F46" s="26" t="s">
        <v>46</v>
      </c>
      <c r="G46" s="26" t="s">
        <v>71</v>
      </c>
      <c r="H46" s="26"/>
      <c r="I46" s="26"/>
      <c r="J46" s="26"/>
    </row>
    <row r="47" spans="2:14" ht="15.75" customHeight="1">
      <c r="B47" s="26" t="s">
        <v>57</v>
      </c>
      <c r="C47" s="26"/>
      <c r="D47" s="35" t="str">
        <f t="shared" si="4"/>
        <v>FTE-INDPLT_00</v>
      </c>
      <c r="E47" s="31" t="str">
        <f t="shared" si="5"/>
        <v>Existing fuel technology Industrial Pellet</v>
      </c>
      <c r="F47" s="26" t="s">
        <v>46</v>
      </c>
      <c r="G47" s="26" t="s">
        <v>71</v>
      </c>
      <c r="H47" s="26"/>
      <c r="I47" s="26"/>
      <c r="J47" s="26"/>
    </row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34"/>
  <sheetViews>
    <sheetView zoomScale="70" zoomScaleNormal="70" workbookViewId="0">
      <selection activeCell="F53" sqref="F53"/>
    </sheetView>
  </sheetViews>
  <sheetFormatPr defaultRowHeight="14.25"/>
  <cols>
    <col min="1" max="2" width="11.7109375" style="139" customWidth="1"/>
    <col min="3" max="5" width="26" style="139" customWidth="1"/>
    <col min="6" max="6" width="58.28515625" style="139" customWidth="1"/>
    <col min="7" max="8" width="28.42578125" style="139" customWidth="1"/>
    <col min="9" max="9" width="14.85546875" style="139" customWidth="1"/>
    <col min="10" max="15" width="9.140625" style="139"/>
    <col min="16" max="16" width="35.28515625" style="139" bestFit="1" customWidth="1"/>
    <col min="17" max="17" width="26" style="139" customWidth="1"/>
    <col min="18" max="16384" width="9.140625" style="139"/>
  </cols>
  <sheetData>
    <row r="5" spans="3:22">
      <c r="C5" s="45" t="s">
        <v>75</v>
      </c>
      <c r="D5" s="140"/>
      <c r="E5" s="141"/>
      <c r="F5" s="141"/>
      <c r="G5" s="141"/>
      <c r="H5" s="141"/>
      <c r="I5" s="141"/>
      <c r="J5" s="141"/>
      <c r="K5" s="141"/>
      <c r="N5" s="45" t="s">
        <v>13</v>
      </c>
      <c r="O5" s="45"/>
      <c r="P5" s="45"/>
      <c r="Q5" s="45"/>
      <c r="R5" s="45"/>
      <c r="S5" s="45"/>
      <c r="T5" s="45"/>
      <c r="U5" s="45"/>
      <c r="V5" s="45"/>
    </row>
    <row r="6" spans="3:22">
      <c r="C6" s="142" t="s">
        <v>7</v>
      </c>
      <c r="D6" s="143" t="s">
        <v>28</v>
      </c>
      <c r="E6" s="142" t="s">
        <v>0</v>
      </c>
      <c r="F6" s="142" t="s">
        <v>3</v>
      </c>
      <c r="G6" s="142" t="s">
        <v>4</v>
      </c>
      <c r="H6" s="142" t="s">
        <v>8</v>
      </c>
      <c r="I6" s="142" t="s">
        <v>9</v>
      </c>
      <c r="J6" s="142" t="s">
        <v>10</v>
      </c>
      <c r="K6" s="142" t="s">
        <v>12</v>
      </c>
      <c r="N6" s="142" t="s">
        <v>11</v>
      </c>
      <c r="O6" s="142" t="s">
        <v>28</v>
      </c>
      <c r="P6" s="142" t="s">
        <v>1</v>
      </c>
      <c r="Q6" s="142" t="s">
        <v>2</v>
      </c>
      <c r="R6" s="142" t="s">
        <v>14</v>
      </c>
      <c r="S6" s="142" t="s">
        <v>15</v>
      </c>
      <c r="T6" s="142" t="s">
        <v>16</v>
      </c>
      <c r="U6" s="142" t="s">
        <v>17</v>
      </c>
      <c r="V6" s="142" t="s">
        <v>18</v>
      </c>
    </row>
    <row r="7" spans="3:22" ht="48">
      <c r="C7" s="144" t="s">
        <v>33</v>
      </c>
      <c r="D7" s="144" t="s">
        <v>29</v>
      </c>
      <c r="E7" s="144" t="s">
        <v>24</v>
      </c>
      <c r="F7" s="144" t="s">
        <v>25</v>
      </c>
      <c r="G7" s="144" t="s">
        <v>4</v>
      </c>
      <c r="H7" s="144" t="s">
        <v>36</v>
      </c>
      <c r="I7" s="144" t="s">
        <v>37</v>
      </c>
      <c r="J7" s="144" t="s">
        <v>26</v>
      </c>
      <c r="K7" s="144" t="s">
        <v>27</v>
      </c>
      <c r="N7" s="144" t="s">
        <v>34</v>
      </c>
      <c r="O7" s="144" t="s">
        <v>29</v>
      </c>
      <c r="P7" s="144" t="s">
        <v>19</v>
      </c>
      <c r="Q7" s="144" t="s">
        <v>20</v>
      </c>
      <c r="R7" s="144" t="s">
        <v>21</v>
      </c>
      <c r="S7" s="144" t="s">
        <v>22</v>
      </c>
      <c r="T7" s="144" t="s">
        <v>39</v>
      </c>
      <c r="U7" s="144" t="s">
        <v>38</v>
      </c>
      <c r="V7" s="144" t="s">
        <v>23</v>
      </c>
    </row>
    <row r="8" spans="3:22">
      <c r="C8" s="139" t="s">
        <v>73</v>
      </c>
      <c r="E8" s="139" t="str">
        <f>IND!F8</f>
        <v>AFFA-PH-INT</v>
      </c>
      <c r="F8" s="157" t="s">
        <v>342</v>
      </c>
      <c r="G8" s="139" t="s">
        <v>46</v>
      </c>
      <c r="I8" s="139" t="s">
        <v>373</v>
      </c>
      <c r="N8" s="139" t="s">
        <v>74</v>
      </c>
      <c r="P8" s="139" t="str">
        <f>+IND!C8</f>
        <v>AFFA</v>
      </c>
      <c r="R8" s="139" t="s">
        <v>46</v>
      </c>
      <c r="S8" s="139" t="s">
        <v>227</v>
      </c>
      <c r="T8" s="139" t="s">
        <v>373</v>
      </c>
    </row>
    <row r="9" spans="3:22">
      <c r="C9" s="139" t="s">
        <v>73</v>
      </c>
      <c r="E9" s="139" t="str">
        <f>IND!F9</f>
        <v>ALLL-PH-INT</v>
      </c>
      <c r="F9" s="157" t="s">
        <v>343</v>
      </c>
      <c r="G9" s="139" t="s">
        <v>46</v>
      </c>
      <c r="I9" s="139" t="s">
        <v>373</v>
      </c>
      <c r="N9" s="139" t="s">
        <v>74</v>
      </c>
      <c r="P9" s="139" t="str">
        <f>+IND!C9</f>
        <v>ALLL</v>
      </c>
      <c r="R9" s="139" t="s">
        <v>46</v>
      </c>
      <c r="S9" s="139" t="s">
        <v>227</v>
      </c>
      <c r="T9" s="139" t="s">
        <v>373</v>
      </c>
    </row>
    <row r="10" spans="3:22">
      <c r="C10" s="139" t="s">
        <v>73</v>
      </c>
      <c r="E10" s="139" t="str">
        <f>IND!F10</f>
        <v>ALLM-PH-INT</v>
      </c>
      <c r="F10" s="157" t="s">
        <v>344</v>
      </c>
      <c r="G10" s="139" t="s">
        <v>46</v>
      </c>
      <c r="I10" s="139" t="s">
        <v>373</v>
      </c>
      <c r="N10" s="139" t="s">
        <v>74</v>
      </c>
      <c r="P10" s="139" t="str">
        <f>+IND!C10</f>
        <v>ALLM</v>
      </c>
      <c r="R10" s="139" t="s">
        <v>46</v>
      </c>
      <c r="S10" s="139" t="s">
        <v>227</v>
      </c>
      <c r="T10" s="139" t="s">
        <v>373</v>
      </c>
    </row>
    <row r="11" spans="3:22">
      <c r="C11" s="139" t="s">
        <v>333</v>
      </c>
      <c r="E11" s="139">
        <f>IND!F11</f>
        <v>0</v>
      </c>
      <c r="F11" s="111" t="s">
        <v>334</v>
      </c>
      <c r="G11" s="139" t="s">
        <v>46</v>
      </c>
      <c r="I11" s="139" t="s">
        <v>373</v>
      </c>
      <c r="N11" s="139" t="s">
        <v>74</v>
      </c>
      <c r="P11" s="139" t="str">
        <f>+IND!C11</f>
        <v>\I:ALSI</v>
      </c>
      <c r="R11" s="139" t="s">
        <v>46</v>
      </c>
      <c r="S11" s="139" t="s">
        <v>227</v>
      </c>
      <c r="T11" s="139" t="s">
        <v>373</v>
      </c>
    </row>
    <row r="12" spans="3:22">
      <c r="C12" s="139" t="s">
        <v>73</v>
      </c>
      <c r="E12" s="139" t="str">
        <f>IND!F12</f>
        <v>BSM-PH-INT</v>
      </c>
      <c r="F12" s="157" t="s">
        <v>335</v>
      </c>
      <c r="G12" s="139" t="s">
        <v>46</v>
      </c>
      <c r="I12" s="139" t="s">
        <v>373</v>
      </c>
      <c r="N12" s="139" t="s">
        <v>74</v>
      </c>
      <c r="P12" s="139" t="str">
        <f>+IND!C12</f>
        <v>BSM</v>
      </c>
      <c r="R12" s="139" t="s">
        <v>46</v>
      </c>
      <c r="S12" s="139" t="s">
        <v>227</v>
      </c>
      <c r="T12" s="139" t="s">
        <v>373</v>
      </c>
    </row>
    <row r="13" spans="3:22">
      <c r="C13" s="139" t="s">
        <v>333</v>
      </c>
      <c r="E13" s="139">
        <f>IND!F13</f>
        <v>0</v>
      </c>
      <c r="F13" s="111" t="s">
        <v>336</v>
      </c>
      <c r="G13" s="139" t="s">
        <v>46</v>
      </c>
      <c r="I13" s="139" t="s">
        <v>373</v>
      </c>
      <c r="N13" s="139" t="s">
        <v>74</v>
      </c>
      <c r="P13" s="139" t="str">
        <f>+IND!C13</f>
        <v>\I:CFWF</v>
      </c>
      <c r="R13" s="139" t="s">
        <v>46</v>
      </c>
      <c r="S13" s="139" t="s">
        <v>227</v>
      </c>
      <c r="T13" s="139" t="s">
        <v>373</v>
      </c>
    </row>
    <row r="14" spans="3:22">
      <c r="C14" s="139" t="s">
        <v>73</v>
      </c>
      <c r="E14" s="139" t="str">
        <f>IND!F14</f>
        <v>DB-PH-INT</v>
      </c>
      <c r="F14" s="157" t="s">
        <v>345</v>
      </c>
      <c r="G14" s="139" t="s">
        <v>46</v>
      </c>
      <c r="I14" s="139" t="s">
        <v>373</v>
      </c>
      <c r="N14" s="139" t="s">
        <v>74</v>
      </c>
      <c r="P14" s="139" t="str">
        <f>+IND!C14</f>
        <v>DB</v>
      </c>
      <c r="R14" s="139" t="s">
        <v>46</v>
      </c>
      <c r="S14" s="139" t="s">
        <v>227</v>
      </c>
      <c r="T14" s="139" t="s">
        <v>373</v>
      </c>
    </row>
    <row r="15" spans="3:22">
      <c r="C15" s="139" t="s">
        <v>73</v>
      </c>
      <c r="E15" s="139" t="str">
        <f>IND!F15</f>
        <v>DCIP-SH</v>
      </c>
      <c r="F15" s="157" t="s">
        <v>346</v>
      </c>
      <c r="G15" s="139" t="s">
        <v>46</v>
      </c>
      <c r="I15" s="139" t="s">
        <v>373</v>
      </c>
      <c r="N15" s="139" t="s">
        <v>74</v>
      </c>
      <c r="P15" s="139" t="str">
        <f>+IND!C15</f>
        <v>DCIP</v>
      </c>
      <c r="R15" s="139" t="s">
        <v>46</v>
      </c>
      <c r="S15" s="139" t="s">
        <v>227</v>
      </c>
      <c r="T15" s="139" t="s">
        <v>373</v>
      </c>
    </row>
    <row r="16" spans="3:22">
      <c r="C16" s="139" t="s">
        <v>73</v>
      </c>
      <c r="E16" s="139" t="str">
        <f>IND!F16</f>
        <v>DRBB-PH-INT</v>
      </c>
      <c r="F16" s="157" t="s">
        <v>347</v>
      </c>
      <c r="G16" s="139" t="s">
        <v>46</v>
      </c>
      <c r="I16" s="139" t="s">
        <v>373</v>
      </c>
      <c r="N16" s="139" t="s">
        <v>74</v>
      </c>
      <c r="P16" s="139" t="str">
        <f>+IND!C16</f>
        <v>DRBB</v>
      </c>
      <c r="R16" s="139" t="s">
        <v>46</v>
      </c>
      <c r="S16" s="139" t="s">
        <v>227</v>
      </c>
      <c r="T16" s="139" t="s">
        <v>373</v>
      </c>
    </row>
    <row r="17" spans="3:20">
      <c r="C17" s="139" t="s">
        <v>73</v>
      </c>
      <c r="E17" s="139" t="str">
        <f>IND!F17</f>
        <v>DRI-PH-INT</v>
      </c>
      <c r="F17" s="157" t="s">
        <v>348</v>
      </c>
      <c r="G17" s="139" t="s">
        <v>46</v>
      </c>
      <c r="I17" s="139" t="s">
        <v>373</v>
      </c>
      <c r="N17" s="139" t="s">
        <v>74</v>
      </c>
      <c r="P17" s="139" t="str">
        <f>+IND!C17</f>
        <v>DRI</v>
      </c>
      <c r="R17" s="139" t="s">
        <v>46</v>
      </c>
      <c r="S17" s="139" t="s">
        <v>227</v>
      </c>
      <c r="T17" s="139" t="s">
        <v>373</v>
      </c>
    </row>
    <row r="18" spans="3:20">
      <c r="C18" s="139" t="s">
        <v>73</v>
      </c>
      <c r="E18" s="139" t="str">
        <f>IND!F18</f>
        <v>FH-SH</v>
      </c>
      <c r="F18" s="157" t="s">
        <v>337</v>
      </c>
      <c r="G18" s="139" t="s">
        <v>46</v>
      </c>
      <c r="I18" s="139" t="s">
        <v>373</v>
      </c>
      <c r="N18" s="139" t="s">
        <v>74</v>
      </c>
      <c r="P18" s="139" t="str">
        <f>+IND!C18</f>
        <v>FH</v>
      </c>
      <c r="R18" s="139" t="s">
        <v>46</v>
      </c>
      <c r="S18" s="139" t="s">
        <v>227</v>
      </c>
      <c r="T18" s="139" t="s">
        <v>373</v>
      </c>
    </row>
    <row r="19" spans="3:20">
      <c r="C19" s="139" t="s">
        <v>73</v>
      </c>
      <c r="E19" s="139" t="str">
        <f>IND!F19</f>
        <v>FONE-PH-INT</v>
      </c>
      <c r="F19" s="157" t="s">
        <v>349</v>
      </c>
      <c r="G19" s="139" t="s">
        <v>46</v>
      </c>
      <c r="I19" s="139" t="s">
        <v>373</v>
      </c>
      <c r="N19" s="139" t="s">
        <v>74</v>
      </c>
      <c r="P19" s="139" t="str">
        <f>+IND!C19</f>
        <v>FONE</v>
      </c>
      <c r="R19" s="139" t="s">
        <v>46</v>
      </c>
      <c r="S19" s="139" t="s">
        <v>227</v>
      </c>
      <c r="T19" s="139" t="s">
        <v>373</v>
      </c>
    </row>
    <row r="20" spans="3:20">
      <c r="C20" s="139" t="s">
        <v>73</v>
      </c>
      <c r="E20" s="139" t="str">
        <f>IND!F20</f>
        <v>FONS-PH-INT</v>
      </c>
      <c r="F20" s="157" t="s">
        <v>350</v>
      </c>
      <c r="G20" s="139" t="s">
        <v>46</v>
      </c>
      <c r="I20" s="139" t="s">
        <v>373</v>
      </c>
      <c r="N20" s="139" t="s">
        <v>74</v>
      </c>
      <c r="P20" s="139" t="str">
        <f>+IND!C20</f>
        <v>FONS</v>
      </c>
      <c r="R20" s="139" t="s">
        <v>46</v>
      </c>
      <c r="S20" s="139" t="s">
        <v>227</v>
      </c>
      <c r="T20" s="139" t="s">
        <v>373</v>
      </c>
    </row>
    <row r="21" spans="3:20">
      <c r="C21" s="139" t="s">
        <v>73</v>
      </c>
      <c r="E21" s="139" t="str">
        <f>IND!F21</f>
        <v>GSI-PH-INT</v>
      </c>
      <c r="F21" s="157" t="s">
        <v>351</v>
      </c>
      <c r="G21" s="139" t="s">
        <v>46</v>
      </c>
      <c r="I21" s="139" t="s">
        <v>373</v>
      </c>
      <c r="N21" s="139" t="s">
        <v>74</v>
      </c>
      <c r="P21" s="139" t="str">
        <f>+IND!C21</f>
        <v>GSI</v>
      </c>
      <c r="R21" s="139" t="s">
        <v>46</v>
      </c>
      <c r="S21" s="139" t="s">
        <v>227</v>
      </c>
      <c r="T21" s="139" t="s">
        <v>373</v>
      </c>
    </row>
    <row r="22" spans="3:20">
      <c r="C22" s="139" t="s">
        <v>73</v>
      </c>
      <c r="E22" s="139" t="str">
        <f>IND!F22</f>
        <v>GSM-PH-INT</v>
      </c>
      <c r="F22" s="157" t="s">
        <v>352</v>
      </c>
      <c r="G22" s="139" t="s">
        <v>46</v>
      </c>
      <c r="I22" s="139" t="s">
        <v>373</v>
      </c>
      <c r="N22" s="139" t="s">
        <v>74</v>
      </c>
      <c r="P22" s="139" t="str">
        <f>+IND!C22</f>
        <v>GSM</v>
      </c>
      <c r="R22" s="139" t="s">
        <v>46</v>
      </c>
      <c r="S22" s="139" t="s">
        <v>227</v>
      </c>
      <c r="T22" s="139" t="s">
        <v>373</v>
      </c>
    </row>
    <row r="23" spans="3:20">
      <c r="C23" s="139" t="s">
        <v>73</v>
      </c>
      <c r="E23" s="139" t="str">
        <f>IND!F23</f>
        <v>IAPM-SH</v>
      </c>
      <c r="F23" s="157" t="s">
        <v>353</v>
      </c>
      <c r="G23" s="139" t="s">
        <v>46</v>
      </c>
      <c r="I23" s="139" t="s">
        <v>373</v>
      </c>
      <c r="N23" s="139" t="s">
        <v>74</v>
      </c>
      <c r="P23" s="139" t="str">
        <f>+IND!C23</f>
        <v>IAPM</v>
      </c>
      <c r="R23" s="139" t="s">
        <v>46</v>
      </c>
      <c r="S23" s="139" t="s">
        <v>227</v>
      </c>
      <c r="T23" s="139" t="s">
        <v>373</v>
      </c>
    </row>
    <row r="24" spans="3:20">
      <c r="C24" s="139" t="s">
        <v>73</v>
      </c>
      <c r="E24" s="139" t="str">
        <f>IND!F24</f>
        <v>ISS-SH</v>
      </c>
      <c r="F24" s="157" t="s">
        <v>354</v>
      </c>
      <c r="G24" s="139" t="s">
        <v>46</v>
      </c>
      <c r="I24" s="139" t="s">
        <v>373</v>
      </c>
      <c r="N24" s="139" t="s">
        <v>74</v>
      </c>
      <c r="P24" s="139" t="str">
        <f>+IND!C24</f>
        <v>ISS</v>
      </c>
      <c r="R24" s="139" t="s">
        <v>46</v>
      </c>
      <c r="S24" s="139" t="s">
        <v>227</v>
      </c>
      <c r="T24" s="139" t="s">
        <v>373</v>
      </c>
    </row>
    <row r="25" spans="3:20">
      <c r="C25" s="139" t="s">
        <v>73</v>
      </c>
      <c r="E25" s="139" t="str">
        <f>IND!F25</f>
        <v>KH-SH</v>
      </c>
      <c r="F25" s="157" t="s">
        <v>338</v>
      </c>
      <c r="G25" s="139" t="s">
        <v>46</v>
      </c>
      <c r="I25" s="139" t="s">
        <v>373</v>
      </c>
      <c r="N25" s="139" t="s">
        <v>74</v>
      </c>
      <c r="P25" s="139" t="str">
        <f>+IND!C25</f>
        <v>KH</v>
      </c>
      <c r="R25" s="139" t="s">
        <v>46</v>
      </c>
      <c r="S25" s="139" t="s">
        <v>227</v>
      </c>
      <c r="T25" s="139" t="s">
        <v>373</v>
      </c>
    </row>
    <row r="26" spans="3:20">
      <c r="C26" s="139" t="s">
        <v>73</v>
      </c>
      <c r="E26" s="139" t="str">
        <f>IND!F26</f>
        <v>MVM-SH</v>
      </c>
      <c r="F26" s="157" t="s">
        <v>339</v>
      </c>
      <c r="G26" s="139" t="s">
        <v>46</v>
      </c>
      <c r="I26" s="139" t="s">
        <v>373</v>
      </c>
      <c r="N26" s="139" t="s">
        <v>74</v>
      </c>
      <c r="P26" s="139" t="str">
        <f>+IND!C26</f>
        <v>MVM</v>
      </c>
      <c r="R26" s="139" t="s">
        <v>46</v>
      </c>
      <c r="S26" s="139" t="s">
        <v>227</v>
      </c>
      <c r="T26" s="139" t="s">
        <v>373</v>
      </c>
    </row>
    <row r="27" spans="3:20">
      <c r="C27" s="139" t="s">
        <v>73</v>
      </c>
      <c r="E27" s="139" t="str">
        <f>IND!F27</f>
        <v>EDAPC-SH</v>
      </c>
      <c r="F27" s="157" t="s">
        <v>355</v>
      </c>
      <c r="G27" s="139" t="s">
        <v>46</v>
      </c>
      <c r="I27" s="139" t="s">
        <v>373</v>
      </c>
      <c r="N27" s="139" t="s">
        <v>74</v>
      </c>
      <c r="P27" s="139" t="str">
        <f>+IND!C27</f>
        <v>EDAPC</v>
      </c>
      <c r="R27" s="139" t="s">
        <v>46</v>
      </c>
      <c r="S27" s="139" t="s">
        <v>227</v>
      </c>
      <c r="T27" s="139" t="s">
        <v>373</v>
      </c>
    </row>
    <row r="28" spans="3:20">
      <c r="C28" s="139" t="s">
        <v>73</v>
      </c>
      <c r="E28" s="139" t="str">
        <f>IND!F28</f>
        <v>EDAUC-SH</v>
      </c>
      <c r="F28" s="157" t="s">
        <v>356</v>
      </c>
      <c r="G28" s="139" t="s">
        <v>46</v>
      </c>
      <c r="I28" s="139" t="s">
        <v>373</v>
      </c>
      <c r="N28" s="139" t="s">
        <v>74</v>
      </c>
      <c r="P28" s="139" t="str">
        <f>+IND!C28</f>
        <v>EDAUC</v>
      </c>
      <c r="R28" s="139" t="s">
        <v>46</v>
      </c>
      <c r="S28" s="139" t="s">
        <v>227</v>
      </c>
      <c r="T28" s="139" t="s">
        <v>373</v>
      </c>
    </row>
    <row r="29" spans="3:20">
      <c r="C29" s="139" t="s">
        <v>73</v>
      </c>
      <c r="E29" s="139" t="str">
        <f>IND!F29</f>
        <v>EDCSC-SH</v>
      </c>
      <c r="F29" s="157" t="s">
        <v>357</v>
      </c>
      <c r="G29" s="139" t="s">
        <v>46</v>
      </c>
      <c r="I29" s="139" t="s">
        <v>373</v>
      </c>
      <c r="N29" s="139" t="s">
        <v>74</v>
      </c>
      <c r="P29" s="139" t="str">
        <f>+IND!C29</f>
        <v>EDCSC</v>
      </c>
      <c r="R29" s="139" t="s">
        <v>46</v>
      </c>
      <c r="S29" s="139" t="s">
        <v>227</v>
      </c>
      <c r="T29" s="139" t="s">
        <v>373</v>
      </c>
    </row>
    <row r="30" spans="3:20">
      <c r="C30" s="139" t="s">
        <v>73</v>
      </c>
      <c r="E30" s="139" t="str">
        <f>IND!F30</f>
        <v>EDEO-SH</v>
      </c>
      <c r="F30" s="157" t="s">
        <v>358</v>
      </c>
      <c r="G30" s="139" t="s">
        <v>46</v>
      </c>
      <c r="I30" s="139" t="s">
        <v>373</v>
      </c>
      <c r="N30" s="139" t="s">
        <v>74</v>
      </c>
      <c r="P30" s="139" t="str">
        <f>+IND!C30</f>
        <v>EDEO</v>
      </c>
      <c r="R30" s="139" t="s">
        <v>46</v>
      </c>
      <c r="S30" s="139" t="s">
        <v>227</v>
      </c>
      <c r="T30" s="139" t="s">
        <v>373</v>
      </c>
    </row>
    <row r="31" spans="3:20">
      <c r="C31" s="139" t="s">
        <v>73</v>
      </c>
      <c r="E31" s="139" t="str">
        <f>IND!F31</f>
        <v>EDGH-SH</v>
      </c>
      <c r="F31" s="157" t="s">
        <v>359</v>
      </c>
      <c r="G31" s="139" t="s">
        <v>46</v>
      </c>
      <c r="I31" s="139" t="s">
        <v>373</v>
      </c>
      <c r="N31" s="139" t="s">
        <v>74</v>
      </c>
      <c r="P31" s="139" t="str">
        <f>+IND!C31</f>
        <v>EDGH</v>
      </c>
      <c r="R31" s="139" t="s">
        <v>46</v>
      </c>
      <c r="S31" s="139" t="s">
        <v>227</v>
      </c>
      <c r="T31" s="139" t="s">
        <v>373</v>
      </c>
    </row>
    <row r="32" spans="3:20">
      <c r="C32" s="139" t="s">
        <v>73</v>
      </c>
      <c r="E32" s="139" t="str">
        <f>IND!F32</f>
        <v>EDNSC-SH</v>
      </c>
      <c r="F32" s="157" t="s">
        <v>360</v>
      </c>
      <c r="G32" s="139" t="s">
        <v>46</v>
      </c>
      <c r="I32" s="139" t="s">
        <v>373</v>
      </c>
      <c r="N32" s="139" t="s">
        <v>74</v>
      </c>
      <c r="P32" s="139" t="str">
        <f>+IND!C32</f>
        <v>EDNSC</v>
      </c>
      <c r="R32" s="139" t="s">
        <v>46</v>
      </c>
      <c r="S32" s="139" t="s">
        <v>227</v>
      </c>
      <c r="T32" s="139" t="s">
        <v>373</v>
      </c>
    </row>
    <row r="33" spans="3:20">
      <c r="C33" s="139" t="s">
        <v>73</v>
      </c>
      <c r="E33" s="139" t="str">
        <f>IND!F33</f>
        <v>EDSBC-SH</v>
      </c>
      <c r="F33" s="157" t="s">
        <v>361</v>
      </c>
      <c r="G33" s="139" t="s">
        <v>46</v>
      </c>
      <c r="I33" s="139" t="s">
        <v>373</v>
      </c>
      <c r="N33" s="139" t="s">
        <v>74</v>
      </c>
      <c r="P33" s="139" t="str">
        <f>+IND!C33</f>
        <v>EDSBC</v>
      </c>
      <c r="R33" s="139" t="s">
        <v>46</v>
      </c>
      <c r="S33" s="139" t="s">
        <v>227</v>
      </c>
      <c r="T33" s="139" t="s">
        <v>373</v>
      </c>
    </row>
    <row r="34" spans="3:20">
      <c r="C34" s="139" t="s">
        <v>73</v>
      </c>
      <c r="E34" s="139" t="str">
        <f>IND!F34</f>
        <v>EDSGH-SH</v>
      </c>
      <c r="F34" s="157" t="s">
        <v>362</v>
      </c>
      <c r="G34" s="139" t="s">
        <v>46</v>
      </c>
      <c r="I34" s="139" t="s">
        <v>373</v>
      </c>
      <c r="N34" s="139" t="s">
        <v>74</v>
      </c>
      <c r="P34" s="139" t="str">
        <f>+IND!C34</f>
        <v>EDSGH</v>
      </c>
      <c r="R34" s="139" t="s">
        <v>46</v>
      </c>
      <c r="S34" s="139" t="s">
        <v>227</v>
      </c>
      <c r="T34" s="139" t="s">
        <v>373</v>
      </c>
    </row>
    <row r="35" spans="3:20">
      <c r="C35" s="139" t="s">
        <v>73</v>
      </c>
      <c r="E35" s="139" t="str">
        <f>IND!F35</f>
        <v>EDSPC-SH</v>
      </c>
      <c r="F35" s="157" t="s">
        <v>378</v>
      </c>
      <c r="G35" s="139" t="s">
        <v>46</v>
      </c>
      <c r="I35" s="139" t="s">
        <v>373</v>
      </c>
      <c r="N35" s="139" t="s">
        <v>74</v>
      </c>
      <c r="P35" s="139" t="str">
        <f>+IND!C35</f>
        <v>EDSPC_A</v>
      </c>
      <c r="R35" s="139" t="s">
        <v>46</v>
      </c>
      <c r="S35" s="139" t="s">
        <v>227</v>
      </c>
      <c r="T35" s="139" t="s">
        <v>373</v>
      </c>
    </row>
    <row r="36" spans="3:20">
      <c r="C36" s="139" t="s">
        <v>73</v>
      </c>
      <c r="E36" s="139" t="str">
        <f>IND!F37</f>
        <v>HESH-PH-INT</v>
      </c>
      <c r="F36" s="157" t="s">
        <v>363</v>
      </c>
      <c r="G36" s="139" t="s">
        <v>46</v>
      </c>
      <c r="I36" s="139" t="s">
        <v>373</v>
      </c>
      <c r="N36" s="139" t="s">
        <v>74</v>
      </c>
      <c r="P36" s="139" t="str">
        <f>+IND!C36</f>
        <v>EDSPC_B</v>
      </c>
      <c r="R36" s="139" t="s">
        <v>46</v>
      </c>
      <c r="S36" s="139" t="s">
        <v>227</v>
      </c>
      <c r="T36" s="139" t="s">
        <v>373</v>
      </c>
    </row>
    <row r="37" spans="3:20">
      <c r="C37" s="139" t="s">
        <v>73</v>
      </c>
      <c r="E37" s="139" t="str">
        <f>IND!F38</f>
        <v>NGAS-PH-INT</v>
      </c>
      <c r="F37" s="157" t="s">
        <v>340</v>
      </c>
      <c r="G37" s="139" t="s">
        <v>46</v>
      </c>
      <c r="I37" s="139" t="s">
        <v>373</v>
      </c>
      <c r="N37" s="139" t="s">
        <v>74</v>
      </c>
      <c r="P37" s="139" t="str">
        <f>+IND!C37</f>
        <v>HESH</v>
      </c>
      <c r="R37" s="139" t="s">
        <v>46</v>
      </c>
      <c r="S37" s="139" t="s">
        <v>227</v>
      </c>
      <c r="T37" s="139" t="s">
        <v>373</v>
      </c>
    </row>
    <row r="38" spans="3:20">
      <c r="C38" s="139" t="s">
        <v>73</v>
      </c>
      <c r="E38" s="139" t="str">
        <f>IND!F39</f>
        <v>\I:OGP-PH-INT</v>
      </c>
      <c r="F38" s="157" t="s">
        <v>364</v>
      </c>
      <c r="G38" s="139" t="s">
        <v>46</v>
      </c>
      <c r="I38" s="139" t="s">
        <v>373</v>
      </c>
      <c r="N38" s="139" t="s">
        <v>74</v>
      </c>
      <c r="P38" s="139" t="str">
        <f>+IND!C38</f>
        <v>NGAS</v>
      </c>
      <c r="R38" s="139" t="s">
        <v>46</v>
      </c>
      <c r="S38" s="139" t="s">
        <v>227</v>
      </c>
      <c r="T38" s="139" t="s">
        <v>373</v>
      </c>
    </row>
    <row r="39" spans="3:20">
      <c r="C39" s="139" t="s">
        <v>73</v>
      </c>
      <c r="E39" s="139" t="str">
        <f>IND!F40</f>
        <v>OCDA-PH-INT</v>
      </c>
      <c r="F39" s="157" t="s">
        <v>365</v>
      </c>
      <c r="G39" s="139" t="s">
        <v>46</v>
      </c>
      <c r="I39" s="139" t="s">
        <v>373</v>
      </c>
      <c r="N39" s="139" t="s">
        <v>74</v>
      </c>
      <c r="P39" s="139" t="str">
        <f>+IND!C39</f>
        <v>\I:OGP</v>
      </c>
      <c r="R39" s="139" t="s">
        <v>46</v>
      </c>
      <c r="S39" s="139" t="s">
        <v>227</v>
      </c>
      <c r="T39" s="139" t="s">
        <v>373</v>
      </c>
    </row>
    <row r="40" spans="3:20">
      <c r="C40" s="139" t="s">
        <v>73</v>
      </c>
      <c r="E40" s="139" t="str">
        <f>IND!F41</f>
        <v>PSPV-SH</v>
      </c>
      <c r="F40" s="157" t="s">
        <v>377</v>
      </c>
      <c r="G40" s="139" t="s">
        <v>46</v>
      </c>
      <c r="I40" s="139" t="s">
        <v>373</v>
      </c>
      <c r="N40" s="139" t="s">
        <v>74</v>
      </c>
      <c r="P40" s="139" t="str">
        <f>+IND!C40</f>
        <v>OCDA</v>
      </c>
      <c r="R40" s="139" t="s">
        <v>46</v>
      </c>
      <c r="S40" s="139" t="s">
        <v>227</v>
      </c>
      <c r="T40" s="139" t="s">
        <v>373</v>
      </c>
    </row>
    <row r="41" spans="3:20">
      <c r="C41" s="139" t="s">
        <v>73</v>
      </c>
      <c r="E41" s="139" t="str">
        <f>IND!F43</f>
        <v>PRM-PH-INT</v>
      </c>
      <c r="F41" s="157" t="s">
        <v>366</v>
      </c>
      <c r="G41" s="139" t="s">
        <v>46</v>
      </c>
      <c r="I41" s="139" t="s">
        <v>373</v>
      </c>
      <c r="N41" s="139" t="s">
        <v>74</v>
      </c>
      <c r="P41" s="139" t="str">
        <f>+IND!C41</f>
        <v>PSPV_A</v>
      </c>
      <c r="R41" s="139" t="s">
        <v>46</v>
      </c>
      <c r="S41" s="139" t="s">
        <v>227</v>
      </c>
      <c r="T41" s="139" t="s">
        <v>373</v>
      </c>
    </row>
    <row r="42" spans="3:20">
      <c r="C42" s="139" t="s">
        <v>73</v>
      </c>
      <c r="E42" s="139" t="str">
        <f>IND!F44</f>
        <v>SHGH-SH</v>
      </c>
      <c r="F42" s="157" t="s">
        <v>367</v>
      </c>
      <c r="G42" s="139" t="s">
        <v>46</v>
      </c>
      <c r="I42" s="139" t="s">
        <v>373</v>
      </c>
      <c r="N42" s="139" t="s">
        <v>74</v>
      </c>
      <c r="P42" s="139" t="str">
        <f>+IND!C42</f>
        <v>PSPV_B</v>
      </c>
      <c r="R42" s="139" t="s">
        <v>46</v>
      </c>
      <c r="S42" s="139" t="s">
        <v>227</v>
      </c>
      <c r="T42" s="139" t="s">
        <v>373</v>
      </c>
    </row>
    <row r="43" spans="3:20">
      <c r="C43" s="139" t="s">
        <v>73</v>
      </c>
      <c r="E43" s="139" t="str">
        <f>IND!F45</f>
        <v>SFFF-PH-INT</v>
      </c>
      <c r="F43" s="157" t="s">
        <v>368</v>
      </c>
      <c r="G43" s="139" t="s">
        <v>46</v>
      </c>
      <c r="I43" s="139" t="s">
        <v>373</v>
      </c>
      <c r="N43" s="139" t="s">
        <v>74</v>
      </c>
      <c r="P43" s="139" t="str">
        <f>+IND!C43</f>
        <v>PRM</v>
      </c>
      <c r="R43" s="139" t="s">
        <v>46</v>
      </c>
      <c r="S43" s="139" t="s">
        <v>227</v>
      </c>
      <c r="T43" s="139" t="s">
        <v>373</v>
      </c>
    </row>
    <row r="44" spans="3:20">
      <c r="C44" s="139" t="s">
        <v>73</v>
      </c>
      <c r="E44" s="139" t="str">
        <f>IND!F46</f>
        <v>SFFW-PH-INT</v>
      </c>
      <c r="F44" s="157" t="s">
        <v>369</v>
      </c>
      <c r="G44" s="139" t="s">
        <v>46</v>
      </c>
      <c r="I44" s="139" t="s">
        <v>373</v>
      </c>
      <c r="N44" s="139" t="s">
        <v>74</v>
      </c>
      <c r="P44" s="139" t="str">
        <f>+IND!C44</f>
        <v>SHGH</v>
      </c>
      <c r="R44" s="139" t="s">
        <v>46</v>
      </c>
      <c r="S44" s="139" t="s">
        <v>227</v>
      </c>
      <c r="T44" s="139" t="s">
        <v>373</v>
      </c>
    </row>
    <row r="45" spans="3:20">
      <c r="C45" s="139" t="s">
        <v>73</v>
      </c>
      <c r="E45" s="139" t="str">
        <f>IND!F47</f>
        <v>SPM-PH-INT</v>
      </c>
      <c r="F45" s="157" t="s">
        <v>376</v>
      </c>
      <c r="G45" s="139" t="s">
        <v>46</v>
      </c>
      <c r="I45" s="139" t="s">
        <v>373</v>
      </c>
      <c r="N45" s="139" t="s">
        <v>74</v>
      </c>
      <c r="P45" s="139" t="str">
        <f>+IND!C45</f>
        <v>SFFF</v>
      </c>
      <c r="R45" s="139" t="s">
        <v>46</v>
      </c>
      <c r="S45" s="139" t="s">
        <v>227</v>
      </c>
      <c r="T45" s="139" t="s">
        <v>373</v>
      </c>
    </row>
    <row r="46" spans="3:20">
      <c r="C46" s="139" t="s">
        <v>73</v>
      </c>
      <c r="E46" s="139" t="str">
        <f>IND!F49</f>
        <v>SDBH-SH</v>
      </c>
      <c r="F46" s="157" t="s">
        <v>375</v>
      </c>
      <c r="G46" s="139" t="s">
        <v>46</v>
      </c>
      <c r="I46" s="139" t="s">
        <v>373</v>
      </c>
      <c r="N46" s="139" t="s">
        <v>74</v>
      </c>
      <c r="P46" s="139" t="str">
        <f>+IND!C46</f>
        <v>SFFW</v>
      </c>
      <c r="R46" s="139" t="s">
        <v>46</v>
      </c>
      <c r="S46" s="139" t="s">
        <v>227</v>
      </c>
      <c r="T46" s="139" t="s">
        <v>373</v>
      </c>
    </row>
    <row r="47" spans="3:20">
      <c r="C47" s="139" t="s">
        <v>73</v>
      </c>
      <c r="E47" s="139" t="str">
        <f>IND!F51</f>
        <v>SIT-SH</v>
      </c>
      <c r="F47" s="157" t="s">
        <v>341</v>
      </c>
      <c r="G47" s="139" t="s">
        <v>46</v>
      </c>
      <c r="I47" s="139" t="s">
        <v>373</v>
      </c>
      <c r="N47" s="139" t="s">
        <v>74</v>
      </c>
      <c r="P47" s="139" t="str">
        <f>+IND!C47</f>
        <v>SPM_A</v>
      </c>
      <c r="R47" s="139" t="s">
        <v>46</v>
      </c>
      <c r="S47" s="139" t="s">
        <v>227</v>
      </c>
      <c r="T47" s="139" t="s">
        <v>373</v>
      </c>
    </row>
    <row r="48" spans="3:20">
      <c r="C48" s="139" t="s">
        <v>73</v>
      </c>
      <c r="E48" s="139" t="str">
        <f>IND!F52</f>
        <v>SDCSP-WH</v>
      </c>
      <c r="F48" s="157" t="s">
        <v>370</v>
      </c>
      <c r="G48" s="139" t="s">
        <v>46</v>
      </c>
      <c r="I48" s="139" t="s">
        <v>373</v>
      </c>
      <c r="N48" s="139" t="s">
        <v>74</v>
      </c>
      <c r="P48" s="139" t="str">
        <f>+IND!C48</f>
        <v>SPM_B</v>
      </c>
      <c r="R48" s="139" t="s">
        <v>46</v>
      </c>
      <c r="S48" s="139" t="s">
        <v>227</v>
      </c>
      <c r="T48" s="139" t="s">
        <v>373</v>
      </c>
    </row>
    <row r="49" spans="3:20">
      <c r="C49" s="139" t="s">
        <v>73</v>
      </c>
      <c r="E49" s="139" t="str">
        <f>IND!F54</f>
        <v>STT-PH-INT</v>
      </c>
      <c r="F49" s="157" t="s">
        <v>371</v>
      </c>
      <c r="G49" s="139" t="s">
        <v>46</v>
      </c>
      <c r="I49" s="139" t="s">
        <v>373</v>
      </c>
      <c r="N49" s="139" t="s">
        <v>74</v>
      </c>
      <c r="P49" s="139" t="str">
        <f>+IND!C49</f>
        <v>SDBH_A</v>
      </c>
      <c r="R49" s="139" t="s">
        <v>46</v>
      </c>
      <c r="S49" s="139" t="s">
        <v>227</v>
      </c>
      <c r="T49" s="139" t="s">
        <v>373</v>
      </c>
    </row>
    <row r="50" spans="3:20">
      <c r="N50" s="139" t="s">
        <v>74</v>
      </c>
      <c r="P50" s="139" t="str">
        <f>+IND!C50</f>
        <v>SDBH_B</v>
      </c>
      <c r="R50" s="139" t="s">
        <v>46</v>
      </c>
      <c r="S50" s="139" t="s">
        <v>227</v>
      </c>
      <c r="T50" s="139" t="s">
        <v>373</v>
      </c>
    </row>
    <row r="51" spans="3:20">
      <c r="N51" s="139" t="s">
        <v>74</v>
      </c>
      <c r="P51" s="139" t="str">
        <f>+IND!C51</f>
        <v>SIT</v>
      </c>
      <c r="R51" s="139" t="s">
        <v>46</v>
      </c>
      <c r="S51" s="139" t="s">
        <v>227</v>
      </c>
      <c r="T51" s="139" t="s">
        <v>373</v>
      </c>
    </row>
    <row r="52" spans="3:20">
      <c r="N52" s="139" t="s">
        <v>74</v>
      </c>
      <c r="P52" s="139" t="str">
        <f>+IND!C52</f>
        <v>SDCSP</v>
      </c>
      <c r="R52" s="139" t="s">
        <v>46</v>
      </c>
      <c r="S52" s="139" t="s">
        <v>227</v>
      </c>
      <c r="T52" s="139" t="s">
        <v>373</v>
      </c>
    </row>
    <row r="53" spans="3:20">
      <c r="N53" s="139" t="s">
        <v>74</v>
      </c>
      <c r="P53" s="139" t="str">
        <f>+IND!C54</f>
        <v>STT</v>
      </c>
      <c r="R53" s="139" t="s">
        <v>46</v>
      </c>
      <c r="S53" s="139" t="s">
        <v>227</v>
      </c>
      <c r="T53" s="139" t="s">
        <v>373</v>
      </c>
    </row>
    <row r="54" spans="3:20">
      <c r="N54" s="139" t="s">
        <v>74</v>
      </c>
      <c r="P54" s="139" t="str">
        <f>+IND!C55</f>
        <v>\I:TGP</v>
      </c>
      <c r="R54" s="139" t="s">
        <v>46</v>
      </c>
      <c r="S54" s="139" t="s">
        <v>227</v>
      </c>
      <c r="T54" s="139" t="s">
        <v>373</v>
      </c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O146"/>
  <sheetViews>
    <sheetView tabSelected="1" zoomScale="70" zoomScaleNormal="70" workbookViewId="0">
      <pane ySplit="7" topLeftCell="A8" activePane="bottomLeft" state="frozen"/>
      <selection activeCell="C1" sqref="C1"/>
      <selection pane="bottomLeft" activeCell="Z21" sqref="Z21"/>
    </sheetView>
  </sheetViews>
  <sheetFormatPr defaultRowHeight="14.25"/>
  <cols>
    <col min="1" max="2" width="9.140625" style="139"/>
    <col min="3" max="3" width="37.28515625" style="139" customWidth="1"/>
    <col min="4" max="5" width="10.28515625" style="139" customWidth="1"/>
    <col min="6" max="6" width="10.42578125" style="139" customWidth="1"/>
    <col min="7" max="7" width="10.7109375" style="139" customWidth="1"/>
    <col min="8" max="10" width="9.140625" style="139"/>
    <col min="11" max="11" width="0" style="139" hidden="1" customWidth="1"/>
    <col min="12" max="16" width="9.140625" style="139"/>
    <col min="17" max="18" width="0" style="139" hidden="1" customWidth="1"/>
    <col min="19" max="24" width="9.140625" style="139"/>
    <col min="25" max="25" width="13.28515625" style="139" customWidth="1"/>
    <col min="26" max="16384" width="9.140625" style="139"/>
  </cols>
  <sheetData>
    <row r="4" spans="1:23">
      <c r="C4" s="145"/>
      <c r="D4" s="145"/>
      <c r="E4" s="145"/>
      <c r="F4" s="47" t="s">
        <v>76</v>
      </c>
      <c r="G4" s="15"/>
      <c r="H4" s="15"/>
      <c r="I4" s="145"/>
      <c r="J4" s="155"/>
      <c r="K4" s="145"/>
      <c r="L4" s="155"/>
      <c r="M4" s="145"/>
      <c r="N4" s="145"/>
      <c r="O4" s="145"/>
      <c r="P4" s="145"/>
      <c r="Q4" s="145"/>
      <c r="S4" s="148"/>
      <c r="U4" s="148"/>
    </row>
    <row r="5" spans="1:23" ht="38.25">
      <c r="C5" s="16" t="s">
        <v>1</v>
      </c>
      <c r="D5" s="16" t="s">
        <v>5</v>
      </c>
      <c r="E5" s="16" t="s">
        <v>321</v>
      </c>
      <c r="F5" s="16" t="s">
        <v>6</v>
      </c>
      <c r="G5" s="17" t="s">
        <v>238</v>
      </c>
      <c r="H5" s="17" t="s">
        <v>239</v>
      </c>
      <c r="I5" s="17" t="s">
        <v>179</v>
      </c>
      <c r="J5" s="18" t="s">
        <v>330</v>
      </c>
      <c r="K5" s="18" t="s">
        <v>236</v>
      </c>
      <c r="L5" s="18" t="s">
        <v>49</v>
      </c>
      <c r="M5" s="18" t="s">
        <v>47</v>
      </c>
      <c r="N5" s="18" t="s">
        <v>219</v>
      </c>
      <c r="O5" s="18" t="s">
        <v>204</v>
      </c>
      <c r="P5" s="18" t="s">
        <v>220</v>
      </c>
      <c r="Q5" s="18" t="s">
        <v>240</v>
      </c>
      <c r="R5" s="18" t="s">
        <v>231</v>
      </c>
      <c r="S5" s="18" t="s">
        <v>329</v>
      </c>
      <c r="T5" s="18" t="s">
        <v>331</v>
      </c>
      <c r="U5" s="18" t="s">
        <v>221</v>
      </c>
      <c r="V5" s="18" t="s">
        <v>394</v>
      </c>
      <c r="W5" s="18" t="s">
        <v>395</v>
      </c>
    </row>
    <row r="6" spans="1:23" ht="72">
      <c r="C6" s="146" t="s">
        <v>35</v>
      </c>
      <c r="D6" s="146" t="s">
        <v>30</v>
      </c>
      <c r="E6" s="146"/>
      <c r="F6" s="146" t="s">
        <v>31</v>
      </c>
      <c r="G6" s="146" t="s">
        <v>60</v>
      </c>
      <c r="H6" s="146" t="s">
        <v>60</v>
      </c>
      <c r="I6" s="146" t="s">
        <v>60</v>
      </c>
      <c r="J6" s="146" t="s">
        <v>32</v>
      </c>
      <c r="K6" s="146" t="s">
        <v>235</v>
      </c>
      <c r="L6" s="146" t="s">
        <v>50</v>
      </c>
      <c r="M6" s="146" t="s">
        <v>62</v>
      </c>
      <c r="N6" s="146" t="s">
        <v>222</v>
      </c>
      <c r="O6" s="146" t="s">
        <v>223</v>
      </c>
      <c r="P6" s="146" t="s">
        <v>224</v>
      </c>
      <c r="Q6" s="146" t="s">
        <v>225</v>
      </c>
      <c r="R6" s="146" t="s">
        <v>225</v>
      </c>
      <c r="S6" s="146" t="s">
        <v>225</v>
      </c>
      <c r="T6" s="146" t="s">
        <v>225</v>
      </c>
      <c r="U6" s="146" t="s">
        <v>226</v>
      </c>
      <c r="V6" s="146" t="s">
        <v>234</v>
      </c>
      <c r="W6" s="146"/>
    </row>
    <row r="7" spans="1:23">
      <c r="C7" s="146" t="s">
        <v>51</v>
      </c>
      <c r="D7" s="146"/>
      <c r="E7" s="146"/>
      <c r="F7" s="146"/>
      <c r="G7" s="146"/>
      <c r="H7" s="146"/>
      <c r="I7" s="146"/>
      <c r="J7" s="146" t="s">
        <v>227</v>
      </c>
      <c r="K7" s="146" t="s">
        <v>52</v>
      </c>
      <c r="L7" s="146" t="s">
        <v>228</v>
      </c>
      <c r="M7" s="146" t="s">
        <v>52</v>
      </c>
      <c r="N7" s="146" t="s">
        <v>229</v>
      </c>
      <c r="O7" s="146" t="s">
        <v>206</v>
      </c>
      <c r="P7" s="146"/>
      <c r="Q7" s="146" t="s">
        <v>230</v>
      </c>
      <c r="R7" s="146" t="s">
        <v>230</v>
      </c>
      <c r="S7" s="146" t="s">
        <v>230</v>
      </c>
      <c r="T7" s="146" t="s">
        <v>230</v>
      </c>
      <c r="U7" s="146" t="s">
        <v>228</v>
      </c>
      <c r="V7" s="146"/>
      <c r="W7" s="146"/>
    </row>
    <row r="8" spans="1:23">
      <c r="A8" s="139">
        <v>1971</v>
      </c>
      <c r="B8" s="111" t="s">
        <v>277</v>
      </c>
      <c r="C8" s="111" t="s">
        <v>242</v>
      </c>
      <c r="D8" s="139" t="s">
        <v>63</v>
      </c>
      <c r="E8" s="111" t="s">
        <v>322</v>
      </c>
      <c r="F8" s="139" t="str">
        <f>_xlfn.CONCAT(C8,"-",E8)</f>
        <v>AFFA-PH-INT</v>
      </c>
      <c r="J8" s="111">
        <v>8.0000000000000002E-3</v>
      </c>
      <c r="L8" s="139">
        <v>0.78</v>
      </c>
      <c r="M8" s="139">
        <v>10</v>
      </c>
      <c r="N8" s="139">
        <v>1000</v>
      </c>
      <c r="P8" s="139">
        <v>31.536000000000001</v>
      </c>
      <c r="Q8" s="139">
        <f t="shared" ref="Q8:Q16" si="0">+ROUND(S8,3)</f>
        <v>2.4E-2</v>
      </c>
      <c r="R8" s="139">
        <v>0</v>
      </c>
      <c r="S8" s="111">
        <v>2.4119999999999999E-2</v>
      </c>
      <c r="T8" s="139">
        <v>5</v>
      </c>
      <c r="U8" s="159">
        <v>0.29680400000000001</v>
      </c>
      <c r="V8" s="139">
        <v>0</v>
      </c>
      <c r="W8" s="139">
        <v>5</v>
      </c>
    </row>
    <row r="9" spans="1:23">
      <c r="B9" s="111" t="s">
        <v>278</v>
      </c>
      <c r="C9" s="111" t="s">
        <v>243</v>
      </c>
      <c r="D9" s="139" t="s">
        <v>63</v>
      </c>
      <c r="E9" s="111" t="s">
        <v>322</v>
      </c>
      <c r="F9" s="139" t="str">
        <f t="shared" ref="F9:F54" si="1">_xlfn.CONCAT(C9,"-",E9)</f>
        <v>ALLL-PH-INT</v>
      </c>
      <c r="J9" s="111">
        <v>3.2000000000000001E-2</v>
      </c>
      <c r="K9" s="139">
        <f>+IF(M9&gt;5,M9-4,M9)</f>
        <v>6</v>
      </c>
      <c r="L9" s="139">
        <v>0.78</v>
      </c>
      <c r="M9" s="139">
        <v>10</v>
      </c>
      <c r="N9" s="139">
        <v>1000</v>
      </c>
      <c r="P9" s="139">
        <v>31.536000000000001</v>
      </c>
      <c r="Q9" s="139">
        <f t="shared" si="0"/>
        <v>0.54</v>
      </c>
      <c r="R9" s="139">
        <v>2.9504999999999999</v>
      </c>
      <c r="S9" s="111">
        <v>0.54</v>
      </c>
      <c r="T9" s="139">
        <v>5</v>
      </c>
      <c r="U9" s="159">
        <v>0.71232899999999999</v>
      </c>
      <c r="V9" s="139">
        <v>0</v>
      </c>
      <c r="W9" s="139">
        <v>5</v>
      </c>
    </row>
    <row r="10" spans="1:23">
      <c r="B10" s="111" t="s">
        <v>279</v>
      </c>
      <c r="C10" s="111" t="s">
        <v>244</v>
      </c>
      <c r="D10" s="139" t="s">
        <v>63</v>
      </c>
      <c r="E10" s="111" t="s">
        <v>322</v>
      </c>
      <c r="F10" s="139" t="str">
        <f t="shared" si="1"/>
        <v>ALLM-PH-INT</v>
      </c>
      <c r="J10" s="111">
        <v>0.01</v>
      </c>
      <c r="K10" s="139">
        <f t="shared" ref="K10:K55" si="2">+IF(M10&gt;5,M10-4,M10)</f>
        <v>6</v>
      </c>
      <c r="L10" s="139">
        <v>0.78</v>
      </c>
      <c r="M10" s="139">
        <v>10</v>
      </c>
      <c r="N10" s="139">
        <v>1000</v>
      </c>
      <c r="P10" s="139">
        <v>31.536000000000001</v>
      </c>
      <c r="Q10" s="139">
        <f t="shared" si="0"/>
        <v>0.09</v>
      </c>
      <c r="R10" s="139">
        <v>0.59319999999999995</v>
      </c>
      <c r="S10" s="111">
        <v>0.09</v>
      </c>
      <c r="T10" s="139">
        <v>5</v>
      </c>
      <c r="U10" s="159">
        <v>0.68493199999999999</v>
      </c>
      <c r="V10" s="139">
        <v>0</v>
      </c>
      <c r="W10" s="139">
        <v>5</v>
      </c>
    </row>
    <row r="11" spans="1:23">
      <c r="B11" s="111" t="s">
        <v>280</v>
      </c>
      <c r="C11" s="111" t="s">
        <v>326</v>
      </c>
      <c r="E11" s="111"/>
      <c r="J11" s="111">
        <v>0</v>
      </c>
      <c r="K11" s="139">
        <f t="shared" si="2"/>
        <v>6</v>
      </c>
      <c r="L11" s="139">
        <v>0.78</v>
      </c>
      <c r="M11" s="139">
        <v>10</v>
      </c>
      <c r="N11" s="139">
        <v>1000</v>
      </c>
      <c r="P11" s="139">
        <v>31.536000000000001</v>
      </c>
      <c r="Q11" s="139">
        <f t="shared" si="0"/>
        <v>0</v>
      </c>
      <c r="R11" s="139">
        <v>1.0800000000000001E-2</v>
      </c>
      <c r="S11" s="111"/>
      <c r="T11" s="139">
        <v>5</v>
      </c>
      <c r="U11" s="159">
        <v>0</v>
      </c>
      <c r="V11" s="139">
        <v>0</v>
      </c>
      <c r="W11" s="139">
        <v>5</v>
      </c>
    </row>
    <row r="12" spans="1:23">
      <c r="B12" s="111" t="s">
        <v>281</v>
      </c>
      <c r="C12" s="111" t="s">
        <v>245</v>
      </c>
      <c r="D12" s="139" t="s">
        <v>63</v>
      </c>
      <c r="E12" s="111" t="s">
        <v>322</v>
      </c>
      <c r="F12" s="139" t="str">
        <f t="shared" si="1"/>
        <v>BSM-PH-INT</v>
      </c>
      <c r="J12" s="111">
        <v>5.1999999999999998E-3</v>
      </c>
      <c r="K12" s="139">
        <f t="shared" si="2"/>
        <v>6</v>
      </c>
      <c r="L12" s="139">
        <v>0.78</v>
      </c>
      <c r="M12" s="139">
        <v>10</v>
      </c>
      <c r="N12" s="139">
        <v>1000</v>
      </c>
      <c r="P12" s="139">
        <v>31.536000000000001</v>
      </c>
      <c r="Q12" s="139">
        <f t="shared" si="0"/>
        <v>4.2999999999999997E-2</v>
      </c>
      <c r="R12" s="139">
        <v>6.0000000000000001E-3</v>
      </c>
      <c r="S12" s="111">
        <v>4.3200000000000002E-2</v>
      </c>
      <c r="T12" s="139">
        <v>5</v>
      </c>
      <c r="U12" s="159">
        <v>0.68493199999999999</v>
      </c>
      <c r="V12" s="139">
        <v>0</v>
      </c>
      <c r="W12" s="139">
        <v>5</v>
      </c>
    </row>
    <row r="13" spans="1:23">
      <c r="B13" s="111" t="s">
        <v>282</v>
      </c>
      <c r="C13" s="111" t="s">
        <v>374</v>
      </c>
      <c r="D13" s="139" t="s">
        <v>63</v>
      </c>
      <c r="E13" s="111"/>
      <c r="J13" s="111">
        <v>8.0000000000000004E-4</v>
      </c>
      <c r="K13" s="139">
        <f t="shared" si="2"/>
        <v>6</v>
      </c>
      <c r="L13" s="139">
        <v>0.78</v>
      </c>
      <c r="M13" s="139">
        <v>10</v>
      </c>
      <c r="N13" s="139">
        <v>1000</v>
      </c>
      <c r="P13" s="139">
        <v>31.536000000000001</v>
      </c>
      <c r="Q13" s="139">
        <f t="shared" si="0"/>
        <v>1.2E-2</v>
      </c>
      <c r="R13" s="139">
        <v>0.72099999999999997</v>
      </c>
      <c r="S13" s="111">
        <v>1.1874453E-2</v>
      </c>
      <c r="T13" s="139">
        <v>5</v>
      </c>
      <c r="U13" s="159">
        <v>0</v>
      </c>
      <c r="V13" s="139">
        <v>0</v>
      </c>
      <c r="W13" s="139">
        <v>5</v>
      </c>
    </row>
    <row r="14" spans="1:23">
      <c r="B14" s="111" t="s">
        <v>283</v>
      </c>
      <c r="C14" s="111" t="s">
        <v>246</v>
      </c>
      <c r="D14" s="139" t="s">
        <v>115</v>
      </c>
      <c r="E14" s="111" t="s">
        <v>322</v>
      </c>
      <c r="F14" s="139" t="str">
        <f t="shared" si="1"/>
        <v>DB-PH-INT</v>
      </c>
      <c r="J14" s="111">
        <v>0</v>
      </c>
      <c r="K14" s="139">
        <f t="shared" si="2"/>
        <v>6</v>
      </c>
      <c r="L14" s="139">
        <v>0.78</v>
      </c>
      <c r="M14" s="139">
        <v>10</v>
      </c>
      <c r="N14" s="139">
        <v>1000</v>
      </c>
      <c r="P14" s="139">
        <v>31.536000000000001</v>
      </c>
      <c r="Q14" s="139">
        <f t="shared" si="0"/>
        <v>0.23100000000000001</v>
      </c>
      <c r="R14" s="139">
        <v>6.2799999999999995E-2</v>
      </c>
      <c r="S14" s="154">
        <v>0.23147999999999999</v>
      </c>
      <c r="T14" s="139">
        <v>5</v>
      </c>
      <c r="U14" s="159">
        <v>0.82191800000000004</v>
      </c>
      <c r="V14" s="139">
        <v>0</v>
      </c>
      <c r="W14" s="139">
        <v>5</v>
      </c>
    </row>
    <row r="15" spans="1:23">
      <c r="B15" s="111" t="s">
        <v>284</v>
      </c>
      <c r="C15" s="111" t="s">
        <v>247</v>
      </c>
      <c r="D15" s="139" t="s">
        <v>63</v>
      </c>
      <c r="E15" s="111" t="s">
        <v>323</v>
      </c>
      <c r="F15" s="139" t="str">
        <f t="shared" si="1"/>
        <v>DCIP-SH</v>
      </c>
      <c r="J15" s="111">
        <v>1.7150000000000002E-3</v>
      </c>
      <c r="K15" s="139">
        <f t="shared" si="2"/>
        <v>6</v>
      </c>
      <c r="L15" s="139">
        <v>0.78</v>
      </c>
      <c r="M15" s="139">
        <v>10</v>
      </c>
      <c r="N15" s="139">
        <v>1000</v>
      </c>
      <c r="P15" s="139">
        <v>31.536000000000001</v>
      </c>
      <c r="Q15" s="139">
        <f t="shared" si="0"/>
        <v>8.0000000000000002E-3</v>
      </c>
      <c r="R15" s="139">
        <v>1E-4</v>
      </c>
      <c r="S15" s="111">
        <v>8.2799999999999992E-3</v>
      </c>
      <c r="T15" s="139">
        <v>5</v>
      </c>
      <c r="U15" s="159">
        <v>0.5</v>
      </c>
      <c r="V15" s="139">
        <v>0</v>
      </c>
      <c r="W15" s="139">
        <v>5</v>
      </c>
    </row>
    <row r="16" spans="1:23">
      <c r="B16" s="111" t="s">
        <v>285</v>
      </c>
      <c r="C16" s="111" t="s">
        <v>248</v>
      </c>
      <c r="D16" s="139" t="s">
        <v>114</v>
      </c>
      <c r="E16" s="111" t="s">
        <v>322</v>
      </c>
      <c r="F16" s="139" t="str">
        <f t="shared" si="1"/>
        <v>DRBB-PH-INT</v>
      </c>
      <c r="J16" s="111">
        <v>1.7600000000000001E-3</v>
      </c>
      <c r="K16" s="139">
        <f t="shared" si="2"/>
        <v>6</v>
      </c>
      <c r="L16" s="139">
        <v>0.78</v>
      </c>
      <c r="M16" s="139">
        <v>10</v>
      </c>
      <c r="N16" s="139">
        <v>1000</v>
      </c>
      <c r="P16" s="139">
        <v>31.536000000000001</v>
      </c>
      <c r="Q16" s="139">
        <f t="shared" si="0"/>
        <v>4.2000000000000003E-2</v>
      </c>
      <c r="R16" s="139">
        <v>0.3589</v>
      </c>
      <c r="S16" s="111">
        <v>4.1708393000000003E-2</v>
      </c>
      <c r="T16" s="139">
        <v>5</v>
      </c>
      <c r="U16" s="159">
        <v>1</v>
      </c>
      <c r="V16" s="139">
        <v>0</v>
      </c>
      <c r="W16" s="139">
        <v>5</v>
      </c>
    </row>
    <row r="17" spans="2:23">
      <c r="B17" s="111" t="s">
        <v>286</v>
      </c>
      <c r="C17" s="111" t="s">
        <v>249</v>
      </c>
      <c r="D17" s="139" t="s">
        <v>114</v>
      </c>
      <c r="E17" s="111" t="s">
        <v>322</v>
      </c>
      <c r="F17" s="139" t="str">
        <f t="shared" si="1"/>
        <v>DRI-PH-INT</v>
      </c>
      <c r="J17" s="111">
        <v>1.7600000000000001E-3</v>
      </c>
      <c r="K17" s="139">
        <f t="shared" si="2"/>
        <v>6</v>
      </c>
      <c r="L17" s="139">
        <v>0.78</v>
      </c>
      <c r="M17" s="139">
        <v>10</v>
      </c>
      <c r="N17" s="139">
        <v>1000</v>
      </c>
      <c r="P17" s="139">
        <v>31.536000000000001</v>
      </c>
      <c r="Q17" s="139">
        <f>+ROUND(S17,3)</f>
        <v>4.2000000000000003E-2</v>
      </c>
      <c r="R17" s="139">
        <v>0.10630000000000001</v>
      </c>
      <c r="S17" s="111">
        <v>4.1708393000000003E-2</v>
      </c>
      <c r="T17" s="139">
        <v>5</v>
      </c>
      <c r="U17" s="159">
        <v>1</v>
      </c>
      <c r="V17" s="139">
        <v>0</v>
      </c>
      <c r="W17" s="139">
        <v>5</v>
      </c>
    </row>
    <row r="18" spans="2:23">
      <c r="B18" s="111" t="s">
        <v>287</v>
      </c>
      <c r="C18" s="111" t="s">
        <v>250</v>
      </c>
      <c r="D18" s="139" t="s">
        <v>114</v>
      </c>
      <c r="E18" s="111" t="s">
        <v>323</v>
      </c>
      <c r="F18" s="139" t="str">
        <f t="shared" si="1"/>
        <v>FH-SH</v>
      </c>
      <c r="J18" s="111">
        <v>1.7000000000000001E-4</v>
      </c>
      <c r="K18" s="139">
        <f t="shared" si="2"/>
        <v>6</v>
      </c>
      <c r="L18" s="139">
        <v>0.78</v>
      </c>
      <c r="M18" s="139">
        <v>10</v>
      </c>
      <c r="N18" s="139">
        <v>1000</v>
      </c>
      <c r="P18" s="139">
        <v>31.536000000000001</v>
      </c>
      <c r="Q18" s="139">
        <f t="shared" ref="Q18:Q35" si="3">+ROUND(S18,3)</f>
        <v>1E-3</v>
      </c>
      <c r="R18" s="139">
        <v>8.9999999999999998E-4</v>
      </c>
      <c r="S18" s="111">
        <v>1.08E-3</v>
      </c>
      <c r="T18" s="139">
        <v>5</v>
      </c>
      <c r="U18" s="159">
        <v>1</v>
      </c>
      <c r="V18" s="139">
        <v>0</v>
      </c>
      <c r="W18" s="139">
        <v>5</v>
      </c>
    </row>
    <row r="19" spans="2:23">
      <c r="B19" s="111" t="s">
        <v>288</v>
      </c>
      <c r="C19" s="111" t="s">
        <v>251</v>
      </c>
      <c r="D19" s="139" t="s">
        <v>63</v>
      </c>
      <c r="E19" s="111" t="s">
        <v>322</v>
      </c>
      <c r="F19" s="139" t="str">
        <f t="shared" si="1"/>
        <v>FONE-PH-INT</v>
      </c>
      <c r="J19" s="111">
        <v>0.13</v>
      </c>
      <c r="K19" s="139">
        <f t="shared" si="2"/>
        <v>6</v>
      </c>
      <c r="L19" s="139">
        <v>0.78</v>
      </c>
      <c r="M19" s="139">
        <v>10</v>
      </c>
      <c r="N19" s="139">
        <v>1000</v>
      </c>
      <c r="P19" s="139">
        <v>31.536000000000001</v>
      </c>
      <c r="Q19" s="139">
        <f t="shared" si="3"/>
        <v>2.948</v>
      </c>
      <c r="R19" s="139">
        <v>1E-4</v>
      </c>
      <c r="S19" s="111">
        <v>2.9483999999999999</v>
      </c>
      <c r="T19" s="139">
        <v>5</v>
      </c>
      <c r="U19" s="159">
        <v>0.95890399999999998</v>
      </c>
      <c r="V19" s="139">
        <v>0</v>
      </c>
      <c r="W19" s="139">
        <v>5</v>
      </c>
    </row>
    <row r="20" spans="2:23">
      <c r="B20" s="111" t="s">
        <v>289</v>
      </c>
      <c r="C20" s="111" t="s">
        <v>252</v>
      </c>
      <c r="D20" s="139" t="s">
        <v>63</v>
      </c>
      <c r="E20" s="111" t="s">
        <v>322</v>
      </c>
      <c r="F20" s="139" t="str">
        <f t="shared" si="1"/>
        <v>FONS-PH-INT</v>
      </c>
      <c r="J20" s="111">
        <v>1.0999999999999999E-2</v>
      </c>
      <c r="K20" s="139">
        <f t="shared" si="2"/>
        <v>6</v>
      </c>
      <c r="L20" s="139">
        <v>0.78</v>
      </c>
      <c r="M20" s="139">
        <v>10</v>
      </c>
      <c r="N20" s="139">
        <v>1000</v>
      </c>
      <c r="P20" s="139">
        <v>31.536000000000001</v>
      </c>
      <c r="Q20" s="139">
        <f t="shared" si="3"/>
        <v>8.5999999999999993E-2</v>
      </c>
      <c r="R20" s="139">
        <v>0.28039999999999998</v>
      </c>
      <c r="S20" s="111">
        <v>8.5536000000000001E-2</v>
      </c>
      <c r="T20" s="139">
        <v>5</v>
      </c>
      <c r="U20" s="159">
        <v>0.82191800000000004</v>
      </c>
      <c r="V20" s="139">
        <v>0</v>
      </c>
      <c r="W20" s="139">
        <v>5</v>
      </c>
    </row>
    <row r="21" spans="2:23">
      <c r="B21" s="111" t="s">
        <v>290</v>
      </c>
      <c r="C21" s="111" t="s">
        <v>253</v>
      </c>
      <c r="D21" s="139" t="s">
        <v>114</v>
      </c>
      <c r="E21" s="111" t="s">
        <v>322</v>
      </c>
      <c r="F21" s="139" t="str">
        <f t="shared" si="1"/>
        <v>GSI-PH-INT</v>
      </c>
      <c r="J21" s="111">
        <v>1.1999999999999999E-3</v>
      </c>
      <c r="K21" s="139">
        <f t="shared" si="2"/>
        <v>6</v>
      </c>
      <c r="L21" s="139">
        <v>0.78</v>
      </c>
      <c r="M21" s="139">
        <v>10</v>
      </c>
      <c r="N21" s="139">
        <v>1000</v>
      </c>
      <c r="P21" s="139">
        <v>31.536000000000001</v>
      </c>
      <c r="Q21" s="139">
        <f t="shared" si="3"/>
        <v>4.0000000000000001E-3</v>
      </c>
      <c r="R21" s="139">
        <v>1.12E-2</v>
      </c>
      <c r="S21" s="111">
        <v>4.2839999999999996E-3</v>
      </c>
      <c r="T21" s="139">
        <v>5</v>
      </c>
      <c r="U21" s="159">
        <v>0.29680400000000001</v>
      </c>
      <c r="V21" s="139">
        <v>0</v>
      </c>
      <c r="W21" s="139">
        <v>5</v>
      </c>
    </row>
    <row r="22" spans="2:23">
      <c r="B22" s="111" t="s">
        <v>291</v>
      </c>
      <c r="C22" s="111" t="s">
        <v>254</v>
      </c>
      <c r="D22" s="139" t="s">
        <v>63</v>
      </c>
      <c r="E22" s="111" t="s">
        <v>322</v>
      </c>
      <c r="F22" s="139" t="str">
        <f t="shared" si="1"/>
        <v>GSM-PH-INT</v>
      </c>
      <c r="J22" s="111">
        <v>1.1999999999999999E-3</v>
      </c>
      <c r="K22" s="139">
        <f t="shared" si="2"/>
        <v>6</v>
      </c>
      <c r="L22" s="139">
        <v>0.78</v>
      </c>
      <c r="M22" s="139">
        <v>10</v>
      </c>
      <c r="N22" s="139">
        <v>1000</v>
      </c>
      <c r="P22" s="139">
        <v>31.536000000000001</v>
      </c>
      <c r="Q22" s="139">
        <f t="shared" si="3"/>
        <v>0</v>
      </c>
      <c r="R22" s="139">
        <v>3.0000000000000001E-3</v>
      </c>
      <c r="S22" s="111">
        <v>3.6000000000000002E-4</v>
      </c>
      <c r="T22" s="139">
        <v>5</v>
      </c>
      <c r="U22" s="159">
        <v>0.29680400000000001</v>
      </c>
      <c r="V22" s="139">
        <v>0</v>
      </c>
      <c r="W22" s="139">
        <v>5</v>
      </c>
    </row>
    <row r="23" spans="2:23">
      <c r="B23" s="111" t="s">
        <v>292</v>
      </c>
      <c r="C23" s="111" t="s">
        <v>255</v>
      </c>
      <c r="D23" s="139" t="s">
        <v>63</v>
      </c>
      <c r="E23" s="111" t="s">
        <v>323</v>
      </c>
      <c r="F23" s="139" t="str">
        <f t="shared" si="1"/>
        <v>IAPM-SH</v>
      </c>
      <c r="J23" s="111">
        <v>2E-3</v>
      </c>
      <c r="K23" s="139">
        <f t="shared" si="2"/>
        <v>6</v>
      </c>
      <c r="L23" s="139">
        <v>0.78</v>
      </c>
      <c r="M23" s="139">
        <v>10</v>
      </c>
      <c r="N23" s="139">
        <v>1000</v>
      </c>
      <c r="P23" s="139">
        <v>31.536000000000001</v>
      </c>
      <c r="Q23" s="139">
        <f t="shared" si="3"/>
        <v>1.6E-2</v>
      </c>
      <c r="R23" s="139">
        <v>0</v>
      </c>
      <c r="S23" s="111">
        <v>1.5890001000000001E-2</v>
      </c>
      <c r="T23" s="139">
        <v>5</v>
      </c>
      <c r="U23" s="159">
        <v>0.54794500000000002</v>
      </c>
      <c r="V23" s="139">
        <v>0</v>
      </c>
      <c r="W23" s="139">
        <v>5</v>
      </c>
    </row>
    <row r="24" spans="2:23">
      <c r="B24" s="111" t="s">
        <v>293</v>
      </c>
      <c r="C24" s="111" t="s">
        <v>256</v>
      </c>
      <c r="D24" s="139" t="s">
        <v>115</v>
      </c>
      <c r="E24" s="111" t="s">
        <v>323</v>
      </c>
      <c r="F24" s="139" t="str">
        <f t="shared" si="1"/>
        <v>ISS-SH</v>
      </c>
      <c r="J24" s="111">
        <v>0</v>
      </c>
      <c r="K24" s="139">
        <f t="shared" si="2"/>
        <v>6</v>
      </c>
      <c r="L24" s="139">
        <v>0.78</v>
      </c>
      <c r="M24" s="139">
        <v>10</v>
      </c>
      <c r="N24" s="139">
        <v>1000</v>
      </c>
      <c r="P24" s="139">
        <v>31.536000000000001</v>
      </c>
      <c r="Q24" s="139">
        <f t="shared" si="3"/>
        <v>2E-3</v>
      </c>
      <c r="R24" s="139">
        <v>0.44650000000000001</v>
      </c>
      <c r="S24" s="111">
        <v>1.8E-3</v>
      </c>
      <c r="T24" s="139">
        <v>5</v>
      </c>
      <c r="U24" s="159">
        <v>0.625</v>
      </c>
      <c r="V24" s="139">
        <v>0</v>
      </c>
      <c r="W24" s="139">
        <v>5</v>
      </c>
    </row>
    <row r="25" spans="2:23">
      <c r="B25" s="111" t="s">
        <v>294</v>
      </c>
      <c r="C25" s="111" t="s">
        <v>257</v>
      </c>
      <c r="D25" s="139" t="s">
        <v>63</v>
      </c>
      <c r="E25" s="111" t="s">
        <v>323</v>
      </c>
      <c r="F25" s="139" t="str">
        <f t="shared" si="1"/>
        <v>KH-SH</v>
      </c>
      <c r="J25" s="111">
        <v>5.0000000000000001E-4</v>
      </c>
      <c r="K25" s="139">
        <f t="shared" si="2"/>
        <v>6</v>
      </c>
      <c r="L25" s="139">
        <v>0.78</v>
      </c>
      <c r="M25" s="139">
        <v>10</v>
      </c>
      <c r="N25" s="139">
        <v>1000</v>
      </c>
      <c r="P25" s="139">
        <v>31.536000000000001</v>
      </c>
      <c r="Q25" s="139">
        <f t="shared" si="3"/>
        <v>1E-3</v>
      </c>
      <c r="R25" s="139">
        <v>0.24340000000000001</v>
      </c>
      <c r="S25" s="111">
        <v>1.296001E-3</v>
      </c>
      <c r="T25" s="139">
        <v>5</v>
      </c>
      <c r="U25" s="159">
        <v>0.36529699999999998</v>
      </c>
      <c r="V25" s="139">
        <v>0</v>
      </c>
      <c r="W25" s="139">
        <v>5</v>
      </c>
    </row>
    <row r="26" spans="2:23">
      <c r="B26" s="111" t="s">
        <v>295</v>
      </c>
      <c r="C26" s="111" t="s">
        <v>258</v>
      </c>
      <c r="D26" s="139" t="s">
        <v>63</v>
      </c>
      <c r="E26" s="111" t="s">
        <v>323</v>
      </c>
      <c r="F26" s="139" t="str">
        <f t="shared" si="1"/>
        <v>MVM-SH</v>
      </c>
      <c r="J26" s="111">
        <v>0.02</v>
      </c>
      <c r="K26" s="139">
        <f t="shared" si="2"/>
        <v>6</v>
      </c>
      <c r="L26" s="139">
        <v>0.78</v>
      </c>
      <c r="M26" s="139">
        <v>10</v>
      </c>
      <c r="N26" s="139">
        <v>1000</v>
      </c>
      <c r="P26" s="139">
        <v>31.536000000000001</v>
      </c>
      <c r="Q26" s="139">
        <f t="shared" si="3"/>
        <v>0.216</v>
      </c>
      <c r="R26" s="139">
        <v>1.0748</v>
      </c>
      <c r="S26" s="111">
        <v>0.216</v>
      </c>
      <c r="T26" s="139">
        <v>5</v>
      </c>
      <c r="U26" s="159">
        <v>1</v>
      </c>
      <c r="V26" s="139">
        <v>0</v>
      </c>
      <c r="W26" s="139">
        <v>5</v>
      </c>
    </row>
    <row r="27" spans="2:23">
      <c r="B27" s="111" t="s">
        <v>296</v>
      </c>
      <c r="C27" s="111" t="s">
        <v>259</v>
      </c>
      <c r="D27" s="139" t="s">
        <v>114</v>
      </c>
      <c r="E27" s="111" t="s">
        <v>323</v>
      </c>
      <c r="F27" s="139" t="str">
        <f t="shared" si="1"/>
        <v>EDAPC-SH</v>
      </c>
      <c r="J27" s="111">
        <v>8.9999999999999998E-4</v>
      </c>
      <c r="K27" s="139">
        <f t="shared" si="2"/>
        <v>6</v>
      </c>
      <c r="L27" s="139">
        <v>0.78</v>
      </c>
      <c r="M27" s="139">
        <v>10</v>
      </c>
      <c r="N27" s="139">
        <v>1000</v>
      </c>
      <c r="P27" s="139">
        <v>31.536000000000001</v>
      </c>
      <c r="Q27" s="139">
        <f t="shared" si="3"/>
        <v>2E-3</v>
      </c>
      <c r="R27" s="139">
        <v>4.4722</v>
      </c>
      <c r="S27" s="111">
        <v>1.6848E-3</v>
      </c>
      <c r="T27" s="139">
        <v>5</v>
      </c>
      <c r="U27" s="159">
        <v>0.14840200000000001</v>
      </c>
      <c r="V27" s="139">
        <v>0</v>
      </c>
      <c r="W27" s="139">
        <v>5</v>
      </c>
    </row>
    <row r="28" spans="2:23">
      <c r="B28" s="111" t="s">
        <v>297</v>
      </c>
      <c r="C28" s="111" t="s">
        <v>260</v>
      </c>
      <c r="D28" s="139" t="s">
        <v>63</v>
      </c>
      <c r="E28" s="111" t="s">
        <v>323</v>
      </c>
      <c r="F28" s="139" t="str">
        <f t="shared" si="1"/>
        <v>EDAUC-SH</v>
      </c>
      <c r="J28" s="111">
        <v>1E-3</v>
      </c>
      <c r="K28" s="139">
        <f t="shared" si="2"/>
        <v>6</v>
      </c>
      <c r="L28" s="139">
        <v>0.78</v>
      </c>
      <c r="M28" s="139">
        <v>10</v>
      </c>
      <c r="N28" s="139">
        <v>1000</v>
      </c>
      <c r="P28" s="139">
        <v>31.536000000000001</v>
      </c>
      <c r="Q28" s="139">
        <f t="shared" si="3"/>
        <v>2E-3</v>
      </c>
      <c r="R28" s="139">
        <v>13.3728</v>
      </c>
      <c r="S28" s="111">
        <v>1.872E-3</v>
      </c>
      <c r="T28" s="139">
        <v>5</v>
      </c>
      <c r="U28" s="159">
        <v>0.14840200000000001</v>
      </c>
      <c r="V28" s="139">
        <v>0</v>
      </c>
      <c r="W28" s="139">
        <v>5</v>
      </c>
    </row>
    <row r="29" spans="2:23">
      <c r="B29" s="111" t="s">
        <v>298</v>
      </c>
      <c r="C29" s="111" t="s">
        <v>261</v>
      </c>
      <c r="D29" s="139" t="s">
        <v>63</v>
      </c>
      <c r="E29" s="111" t="s">
        <v>323</v>
      </c>
      <c r="F29" s="139" t="str">
        <f t="shared" si="1"/>
        <v>EDCSC-SH</v>
      </c>
      <c r="J29" s="111">
        <v>1E-3</v>
      </c>
      <c r="K29" s="139">
        <f t="shared" si="2"/>
        <v>6</v>
      </c>
      <c r="L29" s="139">
        <v>0.78</v>
      </c>
      <c r="M29" s="139">
        <v>10</v>
      </c>
      <c r="N29" s="139">
        <v>1000</v>
      </c>
      <c r="P29" s="139">
        <v>31.536000000000001</v>
      </c>
      <c r="Q29" s="139">
        <f t="shared" si="3"/>
        <v>2E-3</v>
      </c>
      <c r="R29" s="139">
        <v>0.18110000000000001</v>
      </c>
      <c r="S29" s="111">
        <v>1.872E-3</v>
      </c>
      <c r="T29" s="139">
        <v>5</v>
      </c>
      <c r="U29" s="159">
        <v>0.14840200000000001</v>
      </c>
      <c r="V29" s="139">
        <v>0</v>
      </c>
      <c r="W29" s="139">
        <v>5</v>
      </c>
    </row>
    <row r="30" spans="2:23">
      <c r="B30" s="111" t="s">
        <v>299</v>
      </c>
      <c r="C30" s="111" t="s">
        <v>262</v>
      </c>
      <c r="D30" s="139" t="s">
        <v>63</v>
      </c>
      <c r="E30" s="111" t="s">
        <v>323</v>
      </c>
      <c r="F30" s="139" t="str">
        <f t="shared" si="1"/>
        <v>EDEO-SH</v>
      </c>
      <c r="J30" s="111">
        <v>4.7999999999999996E-3</v>
      </c>
      <c r="K30" s="139">
        <f t="shared" si="2"/>
        <v>6</v>
      </c>
      <c r="L30" s="139">
        <v>0.78</v>
      </c>
      <c r="M30" s="139">
        <v>10</v>
      </c>
      <c r="N30" s="139">
        <v>1000</v>
      </c>
      <c r="P30" s="139">
        <v>31.536000000000001</v>
      </c>
      <c r="Q30" s="139">
        <f t="shared" si="3"/>
        <v>7.0000000000000001E-3</v>
      </c>
      <c r="R30" s="139">
        <v>0.75339999999999996</v>
      </c>
      <c r="S30" s="111">
        <v>6.9119999999999997E-3</v>
      </c>
      <c r="T30" s="139">
        <v>5</v>
      </c>
      <c r="U30" s="159">
        <v>0.25</v>
      </c>
      <c r="V30" s="139">
        <v>0</v>
      </c>
      <c r="W30" s="139">
        <v>5</v>
      </c>
    </row>
    <row r="31" spans="2:23">
      <c r="B31" s="111" t="s">
        <v>300</v>
      </c>
      <c r="C31" s="111" t="s">
        <v>263</v>
      </c>
      <c r="D31" s="139" t="s">
        <v>63</v>
      </c>
      <c r="E31" s="111" t="s">
        <v>323</v>
      </c>
      <c r="F31" s="139" t="str">
        <f t="shared" si="1"/>
        <v>EDGH-SH</v>
      </c>
      <c r="J31" s="111">
        <v>1E-3</v>
      </c>
      <c r="K31" s="139">
        <f t="shared" si="2"/>
        <v>6</v>
      </c>
      <c r="L31" s="139">
        <v>0.78</v>
      </c>
      <c r="M31" s="139">
        <v>10</v>
      </c>
      <c r="N31" s="139">
        <v>1000</v>
      </c>
      <c r="P31" s="139">
        <v>31.536000000000001</v>
      </c>
      <c r="Q31" s="139">
        <f t="shared" si="3"/>
        <v>2E-3</v>
      </c>
      <c r="R31" s="139">
        <v>0.48010000000000003</v>
      </c>
      <c r="S31" s="111">
        <v>1.872E-3</v>
      </c>
      <c r="T31" s="139">
        <v>5</v>
      </c>
      <c r="U31" s="159">
        <v>0.14840200000000001</v>
      </c>
      <c r="V31" s="139">
        <v>0</v>
      </c>
      <c r="W31" s="139">
        <v>5</v>
      </c>
    </row>
    <row r="32" spans="2:23">
      <c r="B32" s="111" t="s">
        <v>301</v>
      </c>
      <c r="C32" s="111" t="s">
        <v>264</v>
      </c>
      <c r="D32" s="139" t="s">
        <v>63</v>
      </c>
      <c r="E32" s="111" t="s">
        <v>323</v>
      </c>
      <c r="F32" s="139" t="str">
        <f t="shared" si="1"/>
        <v>EDNSC-SH</v>
      </c>
      <c r="J32" s="111">
        <v>1E-3</v>
      </c>
      <c r="K32" s="139">
        <f t="shared" si="2"/>
        <v>6</v>
      </c>
      <c r="L32" s="139">
        <v>0.78</v>
      </c>
      <c r="M32" s="139">
        <v>10</v>
      </c>
      <c r="N32" s="139">
        <v>1000</v>
      </c>
      <c r="P32" s="139">
        <v>31.536000000000001</v>
      </c>
      <c r="Q32" s="139">
        <f t="shared" si="3"/>
        <v>2E-3</v>
      </c>
      <c r="R32" s="139">
        <v>1.9977</v>
      </c>
      <c r="S32" s="111">
        <v>1.872E-3</v>
      </c>
      <c r="T32" s="139">
        <v>5</v>
      </c>
      <c r="U32" s="159">
        <v>0.14840200000000001</v>
      </c>
      <c r="V32" s="139">
        <v>0</v>
      </c>
      <c r="W32" s="139">
        <v>5</v>
      </c>
    </row>
    <row r="33" spans="2:23">
      <c r="B33" s="111" t="s">
        <v>302</v>
      </c>
      <c r="C33" s="111" t="s">
        <v>265</v>
      </c>
      <c r="D33" s="139" t="s">
        <v>63</v>
      </c>
      <c r="E33" s="111" t="s">
        <v>323</v>
      </c>
      <c r="F33" s="139" t="str">
        <f t="shared" si="1"/>
        <v>EDSBC-SH</v>
      </c>
      <c r="J33" s="111">
        <v>1.2999999999999999E-3</v>
      </c>
      <c r="K33" s="139">
        <f t="shared" si="2"/>
        <v>6</v>
      </c>
      <c r="L33" s="139">
        <v>0.78</v>
      </c>
      <c r="M33" s="139">
        <v>10</v>
      </c>
      <c r="N33" s="139">
        <v>1000</v>
      </c>
      <c r="P33" s="139">
        <v>31.536000000000001</v>
      </c>
      <c r="Q33" s="139">
        <f t="shared" si="3"/>
        <v>2E-3</v>
      </c>
      <c r="R33" s="139">
        <v>0.53979999999999995</v>
      </c>
      <c r="S33" s="111">
        <v>2.4336000000000002E-3</v>
      </c>
      <c r="T33" s="139">
        <v>5</v>
      </c>
      <c r="U33" s="159">
        <v>0.14840200000000001</v>
      </c>
      <c r="V33" s="139">
        <v>0</v>
      </c>
      <c r="W33" s="139">
        <v>5</v>
      </c>
    </row>
    <row r="34" spans="2:23">
      <c r="B34" s="111" t="s">
        <v>303</v>
      </c>
      <c r="C34" s="111" t="s">
        <v>266</v>
      </c>
      <c r="D34" s="139" t="s">
        <v>63</v>
      </c>
      <c r="E34" s="111" t="s">
        <v>323</v>
      </c>
      <c r="F34" s="139" t="str">
        <f t="shared" si="1"/>
        <v>EDSGH-SH</v>
      </c>
      <c r="J34" s="111">
        <v>2.0700000000000002E-3</v>
      </c>
      <c r="K34" s="139">
        <f t="shared" si="2"/>
        <v>6</v>
      </c>
      <c r="L34" s="139">
        <v>0.78</v>
      </c>
      <c r="M34" s="139">
        <v>10</v>
      </c>
      <c r="N34" s="139">
        <v>1000</v>
      </c>
      <c r="P34" s="139">
        <v>31.536000000000001</v>
      </c>
      <c r="Q34" s="139">
        <f t="shared" si="3"/>
        <v>4.0000000000000001E-3</v>
      </c>
      <c r="R34" s="139">
        <v>2.2461000000000002</v>
      </c>
      <c r="S34" s="111">
        <v>4.4420800000000002E-3</v>
      </c>
      <c r="T34" s="139">
        <v>5</v>
      </c>
      <c r="U34" s="159">
        <v>0.17808199999999999</v>
      </c>
      <c r="V34" s="139">
        <v>0</v>
      </c>
      <c r="W34" s="139">
        <v>5</v>
      </c>
    </row>
    <row r="35" spans="2:23">
      <c r="B35" s="111" t="s">
        <v>304</v>
      </c>
      <c r="C35" s="111" t="s">
        <v>379</v>
      </c>
      <c r="D35" s="139" t="s">
        <v>63</v>
      </c>
      <c r="E35" s="111" t="s">
        <v>323</v>
      </c>
      <c r="F35" s="148" t="s">
        <v>382</v>
      </c>
      <c r="J35" s="111">
        <v>1E-3</v>
      </c>
      <c r="K35" s="139">
        <f t="shared" si="2"/>
        <v>6</v>
      </c>
      <c r="L35" s="139">
        <v>0.78</v>
      </c>
      <c r="M35" s="139">
        <v>10</v>
      </c>
      <c r="N35" s="139">
        <v>1000</v>
      </c>
      <c r="P35" s="139">
        <v>31.536000000000001</v>
      </c>
      <c r="Q35" s="139">
        <f t="shared" si="3"/>
        <v>2E-3</v>
      </c>
      <c r="R35" s="139">
        <v>0.32450000000000001</v>
      </c>
      <c r="S35" s="111">
        <v>1.872E-3</v>
      </c>
      <c r="T35" s="139">
        <v>5</v>
      </c>
      <c r="U35" s="159">
        <v>0.14840200000000001</v>
      </c>
      <c r="V35" s="139">
        <v>0</v>
      </c>
      <c r="W35" s="139">
        <v>5</v>
      </c>
    </row>
    <row r="36" spans="2:23">
      <c r="B36" s="111"/>
      <c r="C36" s="111" t="s">
        <v>381</v>
      </c>
      <c r="D36" s="139" t="s">
        <v>114</v>
      </c>
      <c r="E36" s="111" t="s">
        <v>323</v>
      </c>
      <c r="F36" s="148" t="s">
        <v>382</v>
      </c>
      <c r="J36" s="111">
        <v>1E-3</v>
      </c>
      <c r="K36" s="139">
        <f t="shared" si="2"/>
        <v>6</v>
      </c>
      <c r="L36" s="139">
        <v>0.78</v>
      </c>
      <c r="M36" s="139">
        <v>10</v>
      </c>
      <c r="N36" s="139">
        <v>1000</v>
      </c>
      <c r="P36" s="139">
        <v>31.536000000000001</v>
      </c>
      <c r="S36" s="158">
        <v>2.3400000000000001E-3</v>
      </c>
      <c r="T36" s="139">
        <v>5</v>
      </c>
      <c r="U36" s="159">
        <v>0.14840200000000001</v>
      </c>
      <c r="V36" s="139">
        <v>0</v>
      </c>
      <c r="W36" s="139">
        <v>5</v>
      </c>
    </row>
    <row r="37" spans="2:23">
      <c r="B37" s="111" t="s">
        <v>305</v>
      </c>
      <c r="C37" s="111" t="s">
        <v>267</v>
      </c>
      <c r="D37" s="139" t="s">
        <v>63</v>
      </c>
      <c r="E37" s="111" t="s">
        <v>322</v>
      </c>
      <c r="F37" s="139" t="str">
        <f t="shared" si="1"/>
        <v>HESH-PH-INT</v>
      </c>
      <c r="J37" s="111">
        <v>2E-3</v>
      </c>
      <c r="K37" s="139">
        <f t="shared" si="2"/>
        <v>6</v>
      </c>
      <c r="L37" s="139">
        <v>0.78</v>
      </c>
      <c r="M37" s="139">
        <v>10</v>
      </c>
      <c r="N37" s="139">
        <v>1000</v>
      </c>
      <c r="P37" s="139">
        <v>31.536000000000001</v>
      </c>
      <c r="Q37" s="139">
        <f>+ROUND(S38,3)</f>
        <v>2.1999999999999999E-2</v>
      </c>
      <c r="R37" s="139">
        <v>0.43269999999999997</v>
      </c>
      <c r="S37" s="111">
        <v>3.5855999999999999E-2</v>
      </c>
      <c r="T37" s="139">
        <v>5</v>
      </c>
      <c r="U37" s="159">
        <v>1</v>
      </c>
      <c r="V37" s="139">
        <v>0</v>
      </c>
      <c r="W37" s="139">
        <v>5</v>
      </c>
    </row>
    <row r="38" spans="2:23">
      <c r="B38" s="111" t="s">
        <v>306</v>
      </c>
      <c r="C38" s="111" t="s">
        <v>268</v>
      </c>
      <c r="D38" s="139" t="s">
        <v>63</v>
      </c>
      <c r="E38" s="111" t="s">
        <v>322</v>
      </c>
      <c r="F38" s="139" t="str">
        <f t="shared" si="1"/>
        <v>NGAS-PH-INT</v>
      </c>
      <c r="J38" s="111">
        <v>5.4999999999999997E-3</v>
      </c>
      <c r="K38" s="139">
        <f t="shared" si="2"/>
        <v>6</v>
      </c>
      <c r="L38" s="139">
        <v>0.78</v>
      </c>
      <c r="M38" s="139">
        <v>10</v>
      </c>
      <c r="N38" s="139">
        <v>1000</v>
      </c>
      <c r="P38" s="139">
        <v>31.536000000000001</v>
      </c>
      <c r="Q38" s="139" t="e">
        <f>+ROUND(#REF!,3)</f>
        <v>#REF!</v>
      </c>
      <c r="R38" s="139">
        <v>5.0200000000000002E-2</v>
      </c>
      <c r="S38" s="111">
        <v>2.1815999999999999E-2</v>
      </c>
      <c r="T38" s="139">
        <v>5</v>
      </c>
      <c r="U38" s="159">
        <v>1</v>
      </c>
      <c r="V38" s="139">
        <v>0</v>
      </c>
      <c r="W38" s="139">
        <v>5</v>
      </c>
    </row>
    <row r="39" spans="2:23">
      <c r="B39" s="111" t="s">
        <v>307</v>
      </c>
      <c r="C39" s="111" t="s">
        <v>327</v>
      </c>
      <c r="D39" s="139" t="s">
        <v>115</v>
      </c>
      <c r="E39" s="111" t="s">
        <v>322</v>
      </c>
      <c r="F39" s="139" t="str">
        <f t="shared" si="1"/>
        <v>\I:OGP-PH-INT</v>
      </c>
      <c r="J39" s="111">
        <v>0</v>
      </c>
      <c r="K39" s="139">
        <f t="shared" si="2"/>
        <v>6</v>
      </c>
      <c r="L39" s="139">
        <v>0.78</v>
      </c>
      <c r="M39" s="139">
        <v>10</v>
      </c>
      <c r="N39" s="139">
        <v>1000</v>
      </c>
      <c r="P39" s="139">
        <v>31.536000000000001</v>
      </c>
      <c r="Q39" s="139">
        <f>+ROUND(S40,3)</f>
        <v>0.53500000000000003</v>
      </c>
      <c r="R39" s="139">
        <v>6.4999999999999997E-3</v>
      </c>
      <c r="S39" s="139">
        <v>0.108</v>
      </c>
      <c r="T39" s="139">
        <v>5</v>
      </c>
      <c r="U39" s="159">
        <v>1</v>
      </c>
      <c r="V39" s="139">
        <v>0</v>
      </c>
      <c r="W39" s="139">
        <v>5</v>
      </c>
    </row>
    <row r="40" spans="2:23">
      <c r="B40" s="111" t="s">
        <v>308</v>
      </c>
      <c r="C40" s="111" t="s">
        <v>269</v>
      </c>
      <c r="D40" s="139" t="s">
        <v>63</v>
      </c>
      <c r="E40" s="111" t="s">
        <v>322</v>
      </c>
      <c r="F40" s="139" t="str">
        <f t="shared" si="1"/>
        <v>OCDA-PH-INT</v>
      </c>
      <c r="J40" s="111">
        <v>0.03</v>
      </c>
      <c r="K40" s="139">
        <f t="shared" si="2"/>
        <v>6</v>
      </c>
      <c r="L40" s="139">
        <v>0.78</v>
      </c>
      <c r="M40" s="139">
        <v>10</v>
      </c>
      <c r="N40" s="139">
        <v>1000</v>
      </c>
      <c r="P40" s="139">
        <v>31.536000000000001</v>
      </c>
      <c r="Q40" s="139">
        <f>+ROUND(S41,3)</f>
        <v>2.1000000000000001E-2</v>
      </c>
      <c r="R40" s="139">
        <v>0.43609999999999999</v>
      </c>
      <c r="S40" s="111">
        <v>0.53542800000000002</v>
      </c>
      <c r="T40" s="139">
        <v>5</v>
      </c>
      <c r="U40" s="159">
        <v>0.82191800000000004</v>
      </c>
      <c r="V40" s="139">
        <v>0</v>
      </c>
      <c r="W40" s="139">
        <v>5</v>
      </c>
    </row>
    <row r="41" spans="2:23">
      <c r="B41" s="111" t="s">
        <v>309</v>
      </c>
      <c r="C41" s="111" t="s">
        <v>380</v>
      </c>
      <c r="D41" s="139" t="s">
        <v>63</v>
      </c>
      <c r="E41" s="111" t="s">
        <v>323</v>
      </c>
      <c r="F41" s="148" t="s">
        <v>383</v>
      </c>
      <c r="J41" s="111">
        <v>1.32E-3</v>
      </c>
      <c r="K41" s="139">
        <f t="shared" si="2"/>
        <v>6</v>
      </c>
      <c r="L41" s="139">
        <v>0.78</v>
      </c>
      <c r="M41" s="139">
        <v>10</v>
      </c>
      <c r="N41" s="139">
        <v>1000</v>
      </c>
      <c r="P41" s="139">
        <v>31.536000000000001</v>
      </c>
      <c r="Q41" s="139">
        <f>+ROUND(S43,3)</f>
        <v>5.5E-2</v>
      </c>
      <c r="R41" s="139">
        <v>6.3799999999999996E-2</v>
      </c>
      <c r="S41" s="111">
        <v>2.0628000000000001E-2</v>
      </c>
      <c r="T41" s="139">
        <v>5</v>
      </c>
      <c r="U41" s="159">
        <v>1</v>
      </c>
      <c r="V41" s="139">
        <v>0</v>
      </c>
      <c r="W41" s="139">
        <v>5</v>
      </c>
    </row>
    <row r="42" spans="2:23">
      <c r="B42" s="111"/>
      <c r="C42" s="111" t="s">
        <v>384</v>
      </c>
      <c r="D42" s="139" t="s">
        <v>114</v>
      </c>
      <c r="E42" s="111" t="s">
        <v>323</v>
      </c>
      <c r="F42" s="148" t="s">
        <v>383</v>
      </c>
      <c r="J42" s="111">
        <v>1.32E-3</v>
      </c>
      <c r="L42" s="139">
        <v>0.78</v>
      </c>
      <c r="M42" s="139">
        <v>10</v>
      </c>
      <c r="N42" s="139">
        <v>1000</v>
      </c>
      <c r="P42" s="139">
        <v>31.536000000000001</v>
      </c>
      <c r="S42" s="154">
        <v>0</v>
      </c>
      <c r="T42" s="139">
        <v>5</v>
      </c>
      <c r="U42" s="159">
        <v>1</v>
      </c>
      <c r="V42" s="139">
        <v>0</v>
      </c>
      <c r="W42" s="139">
        <v>5</v>
      </c>
    </row>
    <row r="43" spans="2:23">
      <c r="B43" s="111" t="s">
        <v>310</v>
      </c>
      <c r="C43" s="111" t="s">
        <v>270</v>
      </c>
      <c r="D43" s="139" t="s">
        <v>63</v>
      </c>
      <c r="E43" s="111" t="s">
        <v>322</v>
      </c>
      <c r="F43" s="139" t="str">
        <f t="shared" si="1"/>
        <v>PRM-PH-INT</v>
      </c>
      <c r="J43" s="111">
        <v>1.5E-3</v>
      </c>
      <c r="K43" s="139">
        <f t="shared" si="2"/>
        <v>6</v>
      </c>
      <c r="L43" s="139">
        <v>0.78</v>
      </c>
      <c r="M43" s="139">
        <v>10</v>
      </c>
      <c r="N43" s="139">
        <v>1000</v>
      </c>
      <c r="P43" s="139">
        <v>31.536000000000001</v>
      </c>
      <c r="Q43" s="139">
        <f>+ROUND(S45,3)</f>
        <v>0.153</v>
      </c>
      <c r="R43" s="139">
        <v>0</v>
      </c>
      <c r="S43" s="111">
        <v>5.4576E-2</v>
      </c>
      <c r="T43" s="139">
        <v>5</v>
      </c>
      <c r="U43" s="159">
        <v>1</v>
      </c>
      <c r="V43" s="139">
        <v>0</v>
      </c>
      <c r="W43" s="139">
        <v>5</v>
      </c>
    </row>
    <row r="44" spans="2:23">
      <c r="B44" s="111" t="s">
        <v>311</v>
      </c>
      <c r="C44" s="111" t="s">
        <v>271</v>
      </c>
      <c r="D44" s="139" t="s">
        <v>63</v>
      </c>
      <c r="E44" s="111" t="s">
        <v>323</v>
      </c>
      <c r="F44" s="139" t="str">
        <f t="shared" si="1"/>
        <v>SHGH-SH</v>
      </c>
      <c r="J44" s="111">
        <v>2.0000000000000001E-4</v>
      </c>
      <c r="K44" s="139">
        <f t="shared" si="2"/>
        <v>6</v>
      </c>
      <c r="L44" s="139">
        <v>0.78</v>
      </c>
      <c r="M44" s="139">
        <v>10</v>
      </c>
      <c r="N44" s="139">
        <v>1000</v>
      </c>
      <c r="P44" s="139">
        <v>31.536000000000001</v>
      </c>
      <c r="Q44" s="139">
        <f>+ROUND(S46,3)</f>
        <v>1.9E-2</v>
      </c>
      <c r="R44" s="139">
        <v>7.4499999999999997E-2</v>
      </c>
      <c r="S44" s="111">
        <v>5.4000000000000003E-3</v>
      </c>
      <c r="T44" s="139">
        <v>5</v>
      </c>
      <c r="U44" s="159">
        <v>1</v>
      </c>
      <c r="V44" s="139">
        <v>0</v>
      </c>
      <c r="W44" s="139">
        <v>5</v>
      </c>
    </row>
    <row r="45" spans="2:23">
      <c r="B45" s="111" t="s">
        <v>312</v>
      </c>
      <c r="C45" s="111" t="s">
        <v>272</v>
      </c>
      <c r="D45" s="139" t="s">
        <v>63</v>
      </c>
      <c r="E45" s="111" t="s">
        <v>322</v>
      </c>
      <c r="F45" s="139" t="str">
        <f t="shared" si="1"/>
        <v>SFFF-PH-INT</v>
      </c>
      <c r="J45" s="111">
        <v>1.5679999999999999E-2</v>
      </c>
      <c r="K45" s="139">
        <f t="shared" si="2"/>
        <v>6</v>
      </c>
      <c r="L45" s="139">
        <v>0.78</v>
      </c>
      <c r="M45" s="139">
        <v>10</v>
      </c>
      <c r="N45" s="139">
        <v>1000</v>
      </c>
      <c r="P45" s="139">
        <v>31.536000000000001</v>
      </c>
      <c r="Q45" s="139">
        <f>+ROUND(S47,3)</f>
        <v>5.7000000000000002E-2</v>
      </c>
      <c r="R45" s="139">
        <v>0.64810000000000001</v>
      </c>
      <c r="S45" s="111">
        <v>0.15264</v>
      </c>
      <c r="T45" s="139">
        <v>5</v>
      </c>
      <c r="U45" s="159">
        <v>0.51369900000000002</v>
      </c>
      <c r="V45" s="139">
        <v>0</v>
      </c>
      <c r="W45" s="139">
        <v>5</v>
      </c>
    </row>
    <row r="46" spans="2:23">
      <c r="B46" s="111" t="s">
        <v>313</v>
      </c>
      <c r="C46" s="111" t="s">
        <v>273</v>
      </c>
      <c r="D46" s="139" t="s">
        <v>63</v>
      </c>
      <c r="E46" s="111" t="s">
        <v>322</v>
      </c>
      <c r="F46" s="139" t="str">
        <f t="shared" si="1"/>
        <v>SFFW-PH-INT</v>
      </c>
      <c r="J46" s="111">
        <v>3.0999999999999999E-3</v>
      </c>
      <c r="K46" s="139">
        <f t="shared" si="2"/>
        <v>6</v>
      </c>
      <c r="L46" s="139">
        <v>0.78</v>
      </c>
      <c r="M46" s="139">
        <v>10</v>
      </c>
      <c r="N46" s="139">
        <v>1000</v>
      </c>
      <c r="P46" s="139">
        <v>31.536000000000001</v>
      </c>
      <c r="Q46" s="139">
        <f>+ROUND(S49,3)</f>
        <v>0.13200000000000001</v>
      </c>
      <c r="R46" s="139">
        <v>0</v>
      </c>
      <c r="S46" s="111">
        <v>1.8720000000000001E-2</v>
      </c>
      <c r="T46" s="139">
        <v>5</v>
      </c>
      <c r="U46" s="159">
        <v>0.36164400000000002</v>
      </c>
      <c r="V46" s="139">
        <v>0</v>
      </c>
      <c r="W46" s="139">
        <v>5</v>
      </c>
    </row>
    <row r="47" spans="2:23">
      <c r="B47" s="111" t="s">
        <v>314</v>
      </c>
      <c r="C47" s="111" t="s">
        <v>387</v>
      </c>
      <c r="D47" s="139" t="s">
        <v>63</v>
      </c>
      <c r="E47" s="154" t="s">
        <v>322</v>
      </c>
      <c r="F47" s="148" t="s">
        <v>385</v>
      </c>
      <c r="J47" s="111">
        <v>4.4999999999999997E-3</v>
      </c>
      <c r="K47" s="139">
        <f t="shared" si="2"/>
        <v>6</v>
      </c>
      <c r="L47" s="139">
        <v>0.78</v>
      </c>
      <c r="M47" s="139">
        <v>10</v>
      </c>
      <c r="N47" s="139">
        <v>1000</v>
      </c>
      <c r="P47" s="139">
        <v>31.536000000000001</v>
      </c>
      <c r="Q47" s="139">
        <f>+ROUND(S52,3)</f>
        <v>1E-3</v>
      </c>
      <c r="R47" s="139">
        <v>1.7256</v>
      </c>
      <c r="S47" s="111">
        <v>5.6745260999999998E-2</v>
      </c>
      <c r="T47" s="139">
        <v>5</v>
      </c>
      <c r="U47" s="156">
        <v>0.36164400000000002</v>
      </c>
      <c r="V47" s="139">
        <v>0</v>
      </c>
      <c r="W47" s="139">
        <v>5</v>
      </c>
    </row>
    <row r="48" spans="2:23">
      <c r="B48" s="111"/>
      <c r="C48" s="111" t="s">
        <v>388</v>
      </c>
      <c r="D48" s="139" t="s">
        <v>115</v>
      </c>
      <c r="E48" s="154" t="s">
        <v>322</v>
      </c>
      <c r="F48" s="148" t="s">
        <v>385</v>
      </c>
      <c r="J48" s="139">
        <v>0</v>
      </c>
      <c r="L48" s="139">
        <v>0.78</v>
      </c>
      <c r="M48" s="139">
        <v>10</v>
      </c>
      <c r="N48" s="139">
        <v>1000</v>
      </c>
      <c r="P48" s="139">
        <v>31.536000000000001</v>
      </c>
      <c r="S48" s="111">
        <v>1.8284584E-2</v>
      </c>
      <c r="U48" s="156">
        <v>0.36164400000000002</v>
      </c>
      <c r="V48" s="139">
        <v>0</v>
      </c>
      <c r="W48" s="139">
        <v>5</v>
      </c>
    </row>
    <row r="49" spans="1:41">
      <c r="B49" s="111" t="s">
        <v>315</v>
      </c>
      <c r="C49" s="111" t="s">
        <v>389</v>
      </c>
      <c r="D49" s="139" t="s">
        <v>63</v>
      </c>
      <c r="E49" s="154" t="s">
        <v>323</v>
      </c>
      <c r="F49" s="148" t="s">
        <v>386</v>
      </c>
      <c r="J49" s="111">
        <v>4.2000000000000006E-3</v>
      </c>
      <c r="K49" s="139">
        <f t="shared" si="2"/>
        <v>6</v>
      </c>
      <c r="L49" s="139">
        <v>0.78</v>
      </c>
      <c r="M49" s="139">
        <v>10</v>
      </c>
      <c r="N49" s="139">
        <v>1000</v>
      </c>
      <c r="P49" s="139">
        <v>31.536000000000001</v>
      </c>
      <c r="Q49" s="139" t="e">
        <f>+ROUND(#REF!,3)</f>
        <v>#REF!</v>
      </c>
      <c r="R49" s="139">
        <v>2.1642000000000001</v>
      </c>
      <c r="S49" s="111">
        <v>0.13222588199999999</v>
      </c>
      <c r="T49" s="139">
        <v>5</v>
      </c>
      <c r="U49" s="156">
        <v>1</v>
      </c>
      <c r="V49" s="139">
        <v>0</v>
      </c>
      <c r="W49" s="139">
        <v>5</v>
      </c>
    </row>
    <row r="50" spans="1:41">
      <c r="B50" s="111"/>
      <c r="C50" s="111" t="s">
        <v>390</v>
      </c>
      <c r="D50" s="139" t="s">
        <v>114</v>
      </c>
      <c r="E50" s="154" t="s">
        <v>323</v>
      </c>
      <c r="F50" s="148" t="s">
        <v>386</v>
      </c>
      <c r="J50" s="111">
        <v>1.1999999999999999E-3</v>
      </c>
      <c r="L50" s="139">
        <v>0.78</v>
      </c>
      <c r="M50" s="139">
        <v>10</v>
      </c>
      <c r="N50" s="139">
        <v>1000</v>
      </c>
      <c r="P50" s="139">
        <v>31.536000000000001</v>
      </c>
      <c r="S50" s="154">
        <v>3.7778824000000003E-2</v>
      </c>
      <c r="T50" s="139">
        <v>5</v>
      </c>
      <c r="U50" s="156">
        <v>1</v>
      </c>
      <c r="V50" s="139">
        <v>0</v>
      </c>
      <c r="W50" s="139">
        <v>5</v>
      </c>
    </row>
    <row r="51" spans="1:41">
      <c r="B51" s="111" t="s">
        <v>316</v>
      </c>
      <c r="C51" s="111" t="s">
        <v>274</v>
      </c>
      <c r="D51" s="139" t="s">
        <v>63</v>
      </c>
      <c r="E51" s="111" t="s">
        <v>323</v>
      </c>
      <c r="F51" s="139" t="str">
        <f t="shared" si="1"/>
        <v>SIT-SH</v>
      </c>
      <c r="J51" s="111">
        <v>2.3999999999999998E-3</v>
      </c>
      <c r="K51" s="139">
        <f t="shared" si="2"/>
        <v>6</v>
      </c>
      <c r="L51" s="139">
        <v>0.78</v>
      </c>
      <c r="M51" s="139">
        <v>10</v>
      </c>
      <c r="N51" s="139">
        <v>1000</v>
      </c>
      <c r="P51" s="139">
        <v>31.536000000000001</v>
      </c>
      <c r="Q51" s="148"/>
      <c r="R51" s="139">
        <v>0.55369999999999997</v>
      </c>
      <c r="S51" s="148">
        <v>5.3042039999999999E-3</v>
      </c>
      <c r="T51" s="139">
        <v>5</v>
      </c>
      <c r="U51" s="159">
        <v>1</v>
      </c>
      <c r="V51" s="139">
        <v>0</v>
      </c>
      <c r="W51" s="139">
        <v>5</v>
      </c>
    </row>
    <row r="52" spans="1:41">
      <c r="B52" s="111" t="s">
        <v>317</v>
      </c>
      <c r="C52" s="111" t="s">
        <v>275</v>
      </c>
      <c r="D52" s="139" t="s">
        <v>114</v>
      </c>
      <c r="E52" s="111" t="s">
        <v>324</v>
      </c>
      <c r="F52" s="139" t="str">
        <f t="shared" si="1"/>
        <v>SDCSP-WH</v>
      </c>
      <c r="J52" s="111">
        <v>8.0000000000000004E-4</v>
      </c>
      <c r="K52" s="139">
        <f t="shared" si="2"/>
        <v>6</v>
      </c>
      <c r="L52" s="139">
        <v>0.78</v>
      </c>
      <c r="M52" s="139">
        <v>10</v>
      </c>
      <c r="N52" s="139">
        <v>1000</v>
      </c>
      <c r="P52" s="139">
        <v>31.536000000000001</v>
      </c>
      <c r="Q52" s="139" t="e">
        <f>+ROUND(#REF!,3)</f>
        <v>#REF!</v>
      </c>
      <c r="R52" s="139">
        <v>0.68810000000000004</v>
      </c>
      <c r="S52" s="111">
        <v>6.4800000000000003E-4</v>
      </c>
      <c r="T52" s="139">
        <v>5</v>
      </c>
      <c r="U52" s="159">
        <v>0.27397300000000002</v>
      </c>
      <c r="V52" s="139">
        <v>0</v>
      </c>
      <c r="W52" s="139">
        <v>5</v>
      </c>
    </row>
    <row r="53" spans="1:41">
      <c r="B53" s="111" t="s">
        <v>318</v>
      </c>
      <c r="C53" s="111" t="s">
        <v>328</v>
      </c>
      <c r="J53" s="111">
        <v>0</v>
      </c>
      <c r="K53" s="139">
        <f t="shared" si="2"/>
        <v>6</v>
      </c>
      <c r="L53" s="139">
        <v>0.78</v>
      </c>
      <c r="M53" s="139">
        <v>10</v>
      </c>
      <c r="N53" s="139">
        <v>1000</v>
      </c>
      <c r="P53" s="139">
        <v>31.536000000000001</v>
      </c>
      <c r="Q53" s="139">
        <f t="shared" ref="Q53:Q55" si="4">+ROUND(S53,3)</f>
        <v>0</v>
      </c>
      <c r="R53" s="139">
        <v>0.35220000000000001</v>
      </c>
      <c r="T53" s="139">
        <v>5</v>
      </c>
      <c r="U53" s="159">
        <v>0</v>
      </c>
      <c r="V53" s="139">
        <v>0</v>
      </c>
      <c r="W53" s="139">
        <v>5</v>
      </c>
    </row>
    <row r="54" spans="1:41">
      <c r="B54" s="111" t="s">
        <v>319</v>
      </c>
      <c r="C54" s="111" t="s">
        <v>276</v>
      </c>
      <c r="D54" s="139" t="s">
        <v>63</v>
      </c>
      <c r="E54" s="111" t="s">
        <v>322</v>
      </c>
      <c r="F54" s="139" t="str">
        <f t="shared" si="1"/>
        <v>STT-PH-INT</v>
      </c>
      <c r="J54" s="111">
        <v>3.4000000000000002E-3</v>
      </c>
      <c r="K54" s="139">
        <f t="shared" si="2"/>
        <v>6</v>
      </c>
      <c r="L54" s="139">
        <v>0.78</v>
      </c>
      <c r="M54" s="139">
        <v>10</v>
      </c>
      <c r="N54" s="139">
        <v>1000</v>
      </c>
      <c r="P54" s="139">
        <v>31.536000000000001</v>
      </c>
      <c r="Q54" s="139" t="e">
        <f>+ROUND(#REF!,3)</f>
        <v>#REF!</v>
      </c>
      <c r="R54" s="139">
        <v>8.0000000000000004E-4</v>
      </c>
      <c r="S54" s="111">
        <v>3.2000000000000001E-2</v>
      </c>
      <c r="T54" s="139">
        <v>5</v>
      </c>
      <c r="U54" s="159">
        <v>1</v>
      </c>
      <c r="V54" s="139">
        <v>0</v>
      </c>
      <c r="W54" s="139">
        <v>5</v>
      </c>
    </row>
    <row r="55" spans="1:41">
      <c r="A55" s="139">
        <v>1969</v>
      </c>
      <c r="B55" s="111" t="s">
        <v>320</v>
      </c>
      <c r="C55" s="111" t="s">
        <v>332</v>
      </c>
      <c r="K55" s="139">
        <f t="shared" si="2"/>
        <v>6</v>
      </c>
      <c r="L55" s="139">
        <v>0.78</v>
      </c>
      <c r="M55" s="139">
        <v>10</v>
      </c>
      <c r="N55" s="139">
        <v>1000</v>
      </c>
      <c r="P55" s="139">
        <v>31.536000000000001</v>
      </c>
      <c r="Q55" s="139">
        <f t="shared" si="4"/>
        <v>0</v>
      </c>
      <c r="R55" s="139">
        <v>0.72550000000000003</v>
      </c>
      <c r="T55" s="139">
        <v>5</v>
      </c>
      <c r="U55" s="159">
        <v>1</v>
      </c>
      <c r="V55" s="139">
        <v>0</v>
      </c>
      <c r="W55" s="139">
        <v>5</v>
      </c>
    </row>
    <row r="56" spans="1:41">
      <c r="U56" s="151"/>
      <c r="V56" s="147"/>
      <c r="W56" s="147"/>
      <c r="Z56" s="151"/>
    </row>
    <row r="57" spans="1:41">
      <c r="U57" s="151"/>
      <c r="V57" s="147"/>
      <c r="W57" s="147"/>
      <c r="AK57" s="150"/>
      <c r="AO57" s="151"/>
    </row>
    <row r="58" spans="1:41">
      <c r="F58" s="139" t="s">
        <v>325</v>
      </c>
      <c r="U58" s="151"/>
      <c r="V58" s="147"/>
      <c r="W58" s="147"/>
      <c r="AO58" s="151"/>
    </row>
    <row r="59" spans="1:41">
      <c r="V59" s="147"/>
      <c r="W59" s="147"/>
      <c r="AL59" s="150"/>
      <c r="AO59" s="151"/>
    </row>
    <row r="60" spans="1:41">
      <c r="V60" s="147"/>
      <c r="W60" s="147"/>
      <c r="AK60" s="150"/>
      <c r="AO60" s="151"/>
    </row>
    <row r="61" spans="1:41">
      <c r="V61" s="147"/>
      <c r="W61" s="147"/>
      <c r="AL61" s="150"/>
      <c r="AO61" s="151"/>
    </row>
    <row r="62" spans="1:41">
      <c r="V62" s="147"/>
      <c r="W62" s="147"/>
      <c r="AK62" s="150"/>
      <c r="AO62" s="151"/>
    </row>
    <row r="63" spans="1:41">
      <c r="V63" s="147"/>
      <c r="W63" s="147"/>
      <c r="AO63" s="151"/>
    </row>
    <row r="64" spans="1:41">
      <c r="V64" s="147"/>
      <c r="W64" s="147"/>
      <c r="AO64" s="151"/>
    </row>
    <row r="65" spans="22:41">
      <c r="V65" s="147"/>
      <c r="W65" s="147"/>
      <c r="AO65" s="151"/>
    </row>
    <row r="66" spans="22:41">
      <c r="V66" s="147"/>
      <c r="W66" s="147"/>
      <c r="AK66" s="150"/>
      <c r="AO66" s="151"/>
    </row>
    <row r="67" spans="22:41">
      <c r="V67" s="147"/>
      <c r="W67" s="147"/>
      <c r="AO67" s="151"/>
    </row>
    <row r="68" spans="22:41">
      <c r="V68" s="147"/>
      <c r="W68" s="147"/>
      <c r="AO68" s="151"/>
    </row>
    <row r="69" spans="22:41">
      <c r="V69" s="147"/>
      <c r="W69" s="147"/>
      <c r="AK69" s="150"/>
      <c r="AO69" s="151"/>
    </row>
    <row r="70" spans="22:41">
      <c r="V70" s="147"/>
      <c r="W70" s="147"/>
      <c r="AK70" s="150"/>
      <c r="AL70" s="150"/>
      <c r="AO70" s="151"/>
    </row>
    <row r="71" spans="22:41">
      <c r="V71" s="147"/>
      <c r="W71" s="147"/>
      <c r="AO71" s="151"/>
    </row>
    <row r="72" spans="22:41">
      <c r="V72" s="147"/>
      <c r="W72" s="147"/>
      <c r="AO72" s="151"/>
    </row>
    <row r="73" spans="22:41">
      <c r="V73" s="147"/>
      <c r="W73" s="147"/>
      <c r="AL73" s="150"/>
      <c r="AO73" s="151"/>
    </row>
    <row r="74" spans="22:41">
      <c r="V74" s="147"/>
      <c r="W74" s="147"/>
    </row>
    <row r="75" spans="22:41">
      <c r="V75" s="147"/>
      <c r="W75" s="147"/>
    </row>
    <row r="76" spans="22:41">
      <c r="V76" s="147"/>
      <c r="W76" s="147"/>
    </row>
    <row r="77" spans="22:41">
      <c r="V77" s="147"/>
      <c r="W77" s="147"/>
    </row>
    <row r="78" spans="22:41">
      <c r="V78" s="147"/>
      <c r="W78" s="147"/>
    </row>
    <row r="79" spans="22:41">
      <c r="V79" s="147"/>
      <c r="W79" s="147"/>
    </row>
    <row r="80" spans="22:41">
      <c r="V80" s="147"/>
      <c r="W80" s="147"/>
    </row>
    <row r="81" spans="22:23">
      <c r="V81" s="147"/>
      <c r="W81" s="147"/>
    </row>
    <row r="82" spans="22:23">
      <c r="V82" s="147"/>
      <c r="W82" s="147"/>
    </row>
    <row r="83" spans="22:23">
      <c r="V83" s="147"/>
      <c r="W83" s="147"/>
    </row>
    <row r="84" spans="22:23">
      <c r="V84" s="147"/>
      <c r="W84" s="147"/>
    </row>
    <row r="85" spans="22:23">
      <c r="V85" s="147"/>
      <c r="W85" s="147"/>
    </row>
    <row r="86" spans="22:23">
      <c r="V86" s="147"/>
      <c r="W86" s="147"/>
    </row>
    <row r="87" spans="22:23">
      <c r="V87" s="147"/>
      <c r="W87" s="147"/>
    </row>
    <row r="88" spans="22:23">
      <c r="V88" s="147"/>
      <c r="W88" s="147"/>
    </row>
    <row r="89" spans="22:23">
      <c r="V89" s="147"/>
      <c r="W89" s="147"/>
    </row>
    <row r="90" spans="22:23">
      <c r="V90" s="147"/>
      <c r="W90" s="147"/>
    </row>
    <row r="91" spans="22:23">
      <c r="V91" s="147"/>
      <c r="W91" s="147"/>
    </row>
    <row r="92" spans="22:23">
      <c r="V92" s="147"/>
      <c r="W92" s="147"/>
    </row>
    <row r="93" spans="22:23">
      <c r="V93" s="147"/>
      <c r="W93" s="147"/>
    </row>
    <row r="94" spans="22:23">
      <c r="V94" s="147"/>
      <c r="W94" s="147"/>
    </row>
    <row r="95" spans="22:23">
      <c r="V95" s="147"/>
      <c r="W95" s="147"/>
    </row>
    <row r="96" spans="22:23">
      <c r="V96" s="147"/>
      <c r="W96" s="147"/>
    </row>
    <row r="97" spans="17:23">
      <c r="V97" s="147"/>
      <c r="W97" s="147"/>
    </row>
    <row r="98" spans="17:23">
      <c r="V98" s="147"/>
      <c r="W98" s="147"/>
    </row>
    <row r="99" spans="17:23">
      <c r="Q99" s="148"/>
      <c r="V99" s="147"/>
      <c r="W99" s="147"/>
    </row>
    <row r="100" spans="17:23">
      <c r="V100" s="147"/>
      <c r="W100" s="147"/>
    </row>
    <row r="101" spans="17:23">
      <c r="V101" s="147"/>
      <c r="W101" s="147"/>
    </row>
    <row r="102" spans="17:23">
      <c r="V102" s="147"/>
      <c r="W102" s="147"/>
    </row>
    <row r="103" spans="17:23">
      <c r="V103" s="147"/>
      <c r="W103" s="147"/>
    </row>
    <row r="104" spans="17:23">
      <c r="V104" s="147"/>
      <c r="W104" s="147"/>
    </row>
    <row r="105" spans="17:23">
      <c r="V105" s="147"/>
      <c r="W105" s="147"/>
    </row>
    <row r="106" spans="17:23">
      <c r="V106" s="147"/>
      <c r="W106" s="147"/>
    </row>
    <row r="107" spans="17:23">
      <c r="V107" s="147"/>
      <c r="W107" s="147"/>
    </row>
    <row r="108" spans="17:23">
      <c r="V108" s="147"/>
      <c r="W108" s="147"/>
    </row>
    <row r="109" spans="17:23">
      <c r="V109" s="147"/>
      <c r="W109" s="147"/>
    </row>
    <row r="110" spans="17:23">
      <c r="V110" s="147"/>
      <c r="W110" s="147"/>
    </row>
    <row r="111" spans="17:23">
      <c r="V111" s="147"/>
      <c r="W111" s="147"/>
    </row>
    <row r="112" spans="17:23">
      <c r="V112" s="147"/>
      <c r="W112" s="147"/>
    </row>
    <row r="113" spans="22:23">
      <c r="V113" s="147"/>
      <c r="W113" s="147"/>
    </row>
    <row r="114" spans="22:23">
      <c r="V114" s="147"/>
      <c r="W114" s="147"/>
    </row>
    <row r="115" spans="22:23">
      <c r="V115" s="147"/>
      <c r="W115" s="147"/>
    </row>
    <row r="116" spans="22:23">
      <c r="V116" s="147"/>
      <c r="W116" s="147"/>
    </row>
    <row r="117" spans="22:23">
      <c r="V117" s="147"/>
      <c r="W117" s="147"/>
    </row>
    <row r="118" spans="22:23">
      <c r="V118" s="147"/>
      <c r="W118" s="147"/>
    </row>
    <row r="119" spans="22:23">
      <c r="V119" s="147"/>
      <c r="W119" s="147"/>
    </row>
    <row r="120" spans="22:23">
      <c r="V120" s="147"/>
      <c r="W120" s="147"/>
    </row>
    <row r="121" spans="22:23">
      <c r="V121" s="147"/>
      <c r="W121" s="147"/>
    </row>
    <row r="122" spans="22:23">
      <c r="V122" s="147"/>
      <c r="W122" s="147"/>
    </row>
    <row r="123" spans="22:23">
      <c r="V123" s="147"/>
      <c r="W123" s="147"/>
    </row>
    <row r="124" spans="22:23">
      <c r="V124" s="147"/>
      <c r="W124" s="147"/>
    </row>
    <row r="125" spans="22:23">
      <c r="V125" s="147"/>
      <c r="W125" s="147"/>
    </row>
    <row r="126" spans="22:23">
      <c r="V126" s="147"/>
      <c r="W126" s="147"/>
    </row>
    <row r="127" spans="22:23">
      <c r="V127" s="147"/>
      <c r="W127" s="147"/>
    </row>
    <row r="128" spans="22:23">
      <c r="V128" s="147"/>
      <c r="W128" s="147"/>
    </row>
    <row r="129" spans="22:23">
      <c r="V129" s="147"/>
      <c r="W129" s="147"/>
    </row>
    <row r="130" spans="22:23">
      <c r="V130" s="147"/>
      <c r="W130" s="147"/>
    </row>
    <row r="131" spans="22:23">
      <c r="V131" s="147"/>
      <c r="W131" s="147"/>
    </row>
    <row r="132" spans="22:23">
      <c r="V132" s="147"/>
      <c r="W132" s="147"/>
    </row>
    <row r="133" spans="22:23">
      <c r="V133" s="147"/>
      <c r="W133" s="147"/>
    </row>
    <row r="134" spans="22:23">
      <c r="V134" s="147"/>
      <c r="W134" s="147"/>
    </row>
    <row r="135" spans="22:23">
      <c r="V135" s="147"/>
      <c r="W135" s="147"/>
    </row>
    <row r="136" spans="22:23">
      <c r="V136" s="147"/>
      <c r="W136" s="147"/>
    </row>
    <row r="137" spans="22:23">
      <c r="V137" s="147"/>
      <c r="W137" s="147"/>
    </row>
    <row r="138" spans="22:23">
      <c r="V138" s="147"/>
      <c r="W138" s="147"/>
    </row>
    <row r="139" spans="22:23">
      <c r="V139" s="147"/>
      <c r="W139" s="147"/>
    </row>
    <row r="140" spans="22:23">
      <c r="V140" s="147"/>
      <c r="W140" s="147"/>
    </row>
    <row r="141" spans="22:23">
      <c r="V141" s="147"/>
      <c r="W141" s="147"/>
    </row>
    <row r="142" spans="22:23">
      <c r="V142" s="147"/>
      <c r="W142" s="147"/>
    </row>
    <row r="143" spans="22:23">
      <c r="V143" s="147"/>
      <c r="W143" s="147"/>
    </row>
    <row r="144" spans="22:23">
      <c r="V144" s="147"/>
      <c r="W144" s="147"/>
    </row>
    <row r="145" spans="22:23">
      <c r="V145" s="147"/>
      <c r="W145" s="147"/>
    </row>
    <row r="146" spans="22:23">
      <c r="V146" s="147"/>
      <c r="W146" s="147"/>
    </row>
  </sheetData>
  <conditionalFormatting sqref="AC57:AD14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D85"/>
  <sheetViews>
    <sheetView workbookViewId="0">
      <selection activeCell="H29" sqref="H29"/>
    </sheetView>
  </sheetViews>
  <sheetFormatPr defaultRowHeight="12.75"/>
  <cols>
    <col min="3" max="3" width="17.28515625" bestFit="1" customWidth="1"/>
  </cols>
  <sheetData>
    <row r="4" spans="3:4">
      <c r="C4" s="4" t="s">
        <v>76</v>
      </c>
    </row>
    <row r="5" spans="3:4">
      <c r="C5" s="10" t="s">
        <v>0</v>
      </c>
      <c r="D5" s="10" t="s">
        <v>237</v>
      </c>
    </row>
    <row r="6" spans="3:4" ht="23.25" thickBot="1">
      <c r="C6" s="12" t="s">
        <v>232</v>
      </c>
      <c r="D6" s="12" t="s">
        <v>233</v>
      </c>
    </row>
    <row r="7" spans="3:4">
      <c r="C7" s="8" t="str">
        <f>+IND_PRC_COM!E8</f>
        <v>AFFA-PH-INT</v>
      </c>
      <c r="D7" s="149">
        <f>+ROUNDDOWN(SUMIF(IND!$F$8:$F$55,Demand!C7,IND!$S$8:$S$146),5)</f>
        <v>2.4119999999999999E-2</v>
      </c>
    </row>
    <row r="8" spans="3:4">
      <c r="C8" s="8" t="str">
        <f>+IND_PRC_COM!E9</f>
        <v>ALLL-PH-INT</v>
      </c>
      <c r="D8" s="149">
        <f>+ROUNDDOWN(SUMIF(IND!$F$8:$F$55,Demand!C8,IND!$S$8:$S$146),5)</f>
        <v>0.54</v>
      </c>
    </row>
    <row r="9" spans="3:4">
      <c r="C9" s="8" t="str">
        <f>+IND_PRC_COM!E10</f>
        <v>ALLM-PH-INT</v>
      </c>
      <c r="D9" s="149">
        <f>+ROUNDDOWN(SUMIF(IND!$F$8:$F$55,Demand!C9,IND!$S$8:$S$146),5)</f>
        <v>0.09</v>
      </c>
    </row>
    <row r="10" spans="3:4">
      <c r="C10" s="8" t="str">
        <f>+IND_PRC_COM!E12</f>
        <v>BSM-PH-INT</v>
      </c>
      <c r="D10" s="149">
        <f>+ROUNDDOWN(SUMIF(IND!$F$8:$F$55,Demand!C10,IND!$S$8:$S$146),5)</f>
        <v>4.3200000000000002E-2</v>
      </c>
    </row>
    <row r="11" spans="3:4">
      <c r="C11" s="8" t="str">
        <f>+IND_PRC_COM!E14</f>
        <v>DB-PH-INT</v>
      </c>
      <c r="D11" s="149">
        <f>+ROUNDDOWN(SUMIF(IND!$F$8:$F$55,Demand!C11,IND!$S$8:$S$146),5)</f>
        <v>0.23147999999999999</v>
      </c>
    </row>
    <row r="12" spans="3:4">
      <c r="C12" s="8" t="str">
        <f>+IND_PRC_COM!E15</f>
        <v>DCIP-SH</v>
      </c>
      <c r="D12" s="149">
        <f>+ROUNDDOWN(SUMIF(IND!$F$8:$F$55,Demand!C12,IND!$S$8:$S$146),5)</f>
        <v>8.2799999999999992E-3</v>
      </c>
    </row>
    <row r="13" spans="3:4">
      <c r="C13" s="8" t="str">
        <f>+IND_PRC_COM!E16</f>
        <v>DRBB-PH-INT</v>
      </c>
      <c r="D13" s="149">
        <f>+ROUNDDOWN(SUMIF(IND!$F$8:$F$55,Demand!C13,IND!$S$8:$S$146),5)</f>
        <v>4.1700000000000001E-2</v>
      </c>
    </row>
    <row r="14" spans="3:4">
      <c r="C14" s="8" t="str">
        <f>+IND_PRC_COM!E17</f>
        <v>DRI-PH-INT</v>
      </c>
      <c r="D14" s="149">
        <f>+ROUNDDOWN(SUMIF(IND!$F$8:$F$55,Demand!C14,IND!$S$8:$S$146),5)</f>
        <v>4.1700000000000001E-2</v>
      </c>
    </row>
    <row r="15" spans="3:4">
      <c r="C15" s="8" t="str">
        <f>+IND_PRC_COM!E18</f>
        <v>FH-SH</v>
      </c>
      <c r="D15" s="149">
        <f>+ROUNDDOWN(SUMIF(IND!$F$8:$F$55,Demand!C15,IND!$S$8:$S$146),5)</f>
        <v>1.08E-3</v>
      </c>
    </row>
    <row r="16" spans="3:4">
      <c r="C16" s="8" t="str">
        <f>+IND_PRC_COM!E19</f>
        <v>FONE-PH-INT</v>
      </c>
      <c r="D16" s="149">
        <f>+ROUNDDOWN(SUMIF(IND!$F$8:$F$55,Demand!C16,IND!$S$8:$S$146),5)</f>
        <v>2.9483999999999999</v>
      </c>
    </row>
    <row r="17" spans="3:4">
      <c r="C17" s="8" t="str">
        <f>+IND_PRC_COM!E20</f>
        <v>FONS-PH-INT</v>
      </c>
      <c r="D17" s="149">
        <f>+ROUNDDOWN(SUMIF(IND!$F$8:$F$55,Demand!C17,IND!$S$8:$S$146),5)</f>
        <v>8.5529999999999995E-2</v>
      </c>
    </row>
    <row r="18" spans="3:4">
      <c r="C18" s="8" t="str">
        <f>+IND_PRC_COM!E21</f>
        <v>GSI-PH-INT</v>
      </c>
      <c r="D18" s="149">
        <f>+ROUNDDOWN(SUMIF(IND!$F$8:$F$55,Demand!C18,IND!$S$8:$S$146),5)</f>
        <v>4.28E-3</v>
      </c>
    </row>
    <row r="19" spans="3:4">
      <c r="C19" s="8" t="str">
        <f>+IND_PRC_COM!E22</f>
        <v>GSM-PH-INT</v>
      </c>
      <c r="D19" s="149">
        <f>+ROUNDDOWN(SUMIF(IND!$F$8:$F$55,Demand!C19,IND!$S$8:$S$146),5)</f>
        <v>3.6000000000000002E-4</v>
      </c>
    </row>
    <row r="20" spans="3:4">
      <c r="C20" s="8" t="str">
        <f>+IND_PRC_COM!E23</f>
        <v>IAPM-SH</v>
      </c>
      <c r="D20" s="149">
        <f>+ROUNDDOWN(SUMIF(IND!$F$8:$F$55,Demand!C20,IND!$S$8:$S$146),5)</f>
        <v>1.5890000000000001E-2</v>
      </c>
    </row>
    <row r="21" spans="3:4">
      <c r="C21" s="8" t="str">
        <f>+IND_PRC_COM!E24</f>
        <v>ISS-SH</v>
      </c>
      <c r="D21" s="149">
        <f>+ROUNDDOWN(SUMIF(IND!$F$8:$F$55,Demand!C21,IND!$S$8:$S$146),5)</f>
        <v>1.8E-3</v>
      </c>
    </row>
    <row r="22" spans="3:4">
      <c r="C22" s="8" t="str">
        <f>+IND_PRC_COM!E25</f>
        <v>KH-SH</v>
      </c>
      <c r="D22" s="149">
        <f>+ROUNDDOWN(SUMIF(IND!$F$8:$F$55,Demand!C22,IND!$S$8:$S$146),5)</f>
        <v>1.2899999999999999E-3</v>
      </c>
    </row>
    <row r="23" spans="3:4">
      <c r="C23" s="8" t="str">
        <f>+IND_PRC_COM!E26</f>
        <v>MVM-SH</v>
      </c>
      <c r="D23" s="149">
        <f>+ROUNDDOWN(SUMIF(IND!$F$8:$F$55,Demand!C23,IND!$S$8:$S$146),5)</f>
        <v>0.216</v>
      </c>
    </row>
    <row r="24" spans="3:4">
      <c r="C24" s="8" t="str">
        <f>+IND_PRC_COM!E27</f>
        <v>EDAPC-SH</v>
      </c>
      <c r="D24" s="149">
        <f>+ROUNDDOWN(SUMIF(IND!$F$8:$F$55,Demand!C24,IND!$S$8:$S$146),5)</f>
        <v>1.6800000000000001E-3</v>
      </c>
    </row>
    <row r="25" spans="3:4">
      <c r="C25" s="8" t="str">
        <f>+IND_PRC_COM!E28</f>
        <v>EDAUC-SH</v>
      </c>
      <c r="D25" s="149">
        <f>+ROUNDDOWN(SUMIF(IND!$F$8:$F$55,Demand!C25,IND!$S$8:$S$146),5)</f>
        <v>1.8699999999999999E-3</v>
      </c>
    </row>
    <row r="26" spans="3:4">
      <c r="C26" s="8" t="str">
        <f>+IND_PRC_COM!E29</f>
        <v>EDCSC-SH</v>
      </c>
      <c r="D26" s="149">
        <f>+ROUNDDOWN(SUMIF(IND!$F$8:$F$55,Demand!C26,IND!$S$8:$S$146),5)</f>
        <v>1.8699999999999999E-3</v>
      </c>
    </row>
    <row r="27" spans="3:4">
      <c r="C27" s="8" t="str">
        <f>+IND_PRC_COM!E30</f>
        <v>EDEO-SH</v>
      </c>
      <c r="D27" s="149">
        <f>+ROUNDDOWN(SUMIF(IND!$F$8:$F$55,Demand!C27,IND!$S$8:$S$146),5)</f>
        <v>6.9100000000000003E-3</v>
      </c>
    </row>
    <row r="28" spans="3:4">
      <c r="C28" s="8" t="str">
        <f>+IND_PRC_COM!E31</f>
        <v>EDGH-SH</v>
      </c>
      <c r="D28" s="149">
        <f>+ROUNDDOWN(SUMIF(IND!$F$8:$F$55,Demand!C28,IND!$S$8:$S$146),5)</f>
        <v>1.8699999999999999E-3</v>
      </c>
    </row>
    <row r="29" spans="3:4">
      <c r="C29" s="8" t="str">
        <f>+IND_PRC_COM!E32</f>
        <v>EDNSC-SH</v>
      </c>
      <c r="D29" s="149">
        <f>+ROUNDDOWN(SUMIF(IND!$F$8:$F$55,Demand!C29,IND!$S$8:$S$146),5)</f>
        <v>1.8699999999999999E-3</v>
      </c>
    </row>
    <row r="30" spans="3:4">
      <c r="C30" s="8" t="str">
        <f>+IND_PRC_COM!E33</f>
        <v>EDSBC-SH</v>
      </c>
      <c r="D30" s="149">
        <f>+ROUNDDOWN(SUMIF(IND!$F$8:$F$55,Demand!C30,IND!$S$8:$S$146),5)</f>
        <v>2.4299999999999999E-3</v>
      </c>
    </row>
    <row r="31" spans="3:4">
      <c r="C31" s="8" t="str">
        <f>+IND_PRC_COM!E34</f>
        <v>EDSGH-SH</v>
      </c>
      <c r="D31" s="149">
        <f>+ROUNDDOWN(SUMIF(IND!$F$8:$F$55,Demand!C31,IND!$S$8:$S$146),5)</f>
        <v>4.4400000000000004E-3</v>
      </c>
    </row>
    <row r="32" spans="3:4">
      <c r="C32" s="8" t="str">
        <f>+IND_PRC_COM!E35</f>
        <v>EDSPC-SH</v>
      </c>
      <c r="D32" s="149">
        <f>+ROUNDDOWN(SUMIF(IND!$F$8:$F$55,Demand!C32,IND!$S$8:$S$146),5)</f>
        <v>4.2100000000000002E-3</v>
      </c>
    </row>
    <row r="33" spans="3:4">
      <c r="C33" s="8" t="str">
        <f>+IND_PRC_COM!E36</f>
        <v>HESH-PH-INT</v>
      </c>
      <c r="D33" s="149">
        <f>+ROUNDDOWN(SUMIF(IND!$F$8:$F$55,Demand!C33,IND!$S$8:$S$146),5)</f>
        <v>3.585E-2</v>
      </c>
    </row>
    <row r="34" spans="3:4">
      <c r="C34" s="8" t="str">
        <f>+IND_PRC_COM!E37</f>
        <v>NGAS-PH-INT</v>
      </c>
      <c r="D34" s="149">
        <f>+ROUNDDOWN(SUMIF(IND!$F$8:$F$55,Demand!C34,IND!$S$8:$S$146),5)</f>
        <v>2.181E-2</v>
      </c>
    </row>
    <row r="35" spans="3:4">
      <c r="C35" s="8" t="str">
        <f>+IND_PRC_COM!E38</f>
        <v>\I:OGP-PH-INT</v>
      </c>
      <c r="D35" s="149">
        <f>+ROUNDDOWN(SUMIF(IND!$F$8:$F$55,Demand!C35,IND!$S$8:$S$146),5)</f>
        <v>0.108</v>
      </c>
    </row>
    <row r="36" spans="3:4">
      <c r="C36" s="8" t="str">
        <f>+IND_PRC_COM!E39</f>
        <v>OCDA-PH-INT</v>
      </c>
      <c r="D36" s="149">
        <f>+ROUNDDOWN(SUMIF(IND!$F$8:$F$55,Demand!C36,IND!$S$8:$S$146),5)</f>
        <v>0.53542000000000001</v>
      </c>
    </row>
    <row r="37" spans="3:4">
      <c r="C37" s="8" t="str">
        <f>+IND_PRC_COM!E41</f>
        <v>PRM-PH-INT</v>
      </c>
      <c r="D37" s="149">
        <f>+ROUNDDOWN(SUMIF(IND!$F$8:$F$55,Demand!C37,IND!$S$8:$S$146),5)</f>
        <v>5.457E-2</v>
      </c>
    </row>
    <row r="38" spans="3:4">
      <c r="C38" s="8" t="str">
        <f>+IND_PRC_COM!E42</f>
        <v>SHGH-SH</v>
      </c>
      <c r="D38" s="149">
        <f>+ROUNDDOWN(SUMIF(IND!$F$8:$F$55,Demand!C38,IND!$S$8:$S$146),5)</f>
        <v>5.4000000000000003E-3</v>
      </c>
    </row>
    <row r="39" spans="3:4">
      <c r="C39" s="8" t="str">
        <f>+IND_PRC_COM!E43</f>
        <v>SFFF-PH-INT</v>
      </c>
      <c r="D39" s="149">
        <f>+ROUNDDOWN(SUMIF(IND!$F$8:$F$55,Demand!C39,IND!$S$8:$S$146),5)</f>
        <v>0.15264</v>
      </c>
    </row>
    <row r="40" spans="3:4">
      <c r="C40" s="8" t="str">
        <f>+IND_PRC_COM!E44</f>
        <v>SFFW-PH-INT</v>
      </c>
      <c r="D40" s="149">
        <f>+ROUNDDOWN(SUMIF(IND!$F$8:$F$55,Demand!C40,IND!$S$8:$S$146),5)</f>
        <v>1.8720000000000001E-2</v>
      </c>
    </row>
    <row r="41" spans="3:4">
      <c r="C41" s="8" t="str">
        <f>+IND_PRC_COM!E45</f>
        <v>SPM-PH-INT</v>
      </c>
      <c r="D41" s="149">
        <f>+ROUNDDOWN(SUMIF(IND!$F$8:$F$55,Demand!C41,IND!$S$8:$S$146),5)</f>
        <v>7.5020000000000003E-2</v>
      </c>
    </row>
    <row r="42" spans="3:4">
      <c r="C42" s="8" t="str">
        <f>+IND_PRC_COM!E46</f>
        <v>SDBH-SH</v>
      </c>
      <c r="D42" s="149">
        <f>+ROUNDDOWN(SUMIF(IND!$F$8:$F$55,Demand!C42,IND!$S$8:$S$146),5)</f>
        <v>0.17</v>
      </c>
    </row>
    <row r="43" spans="3:4">
      <c r="C43" s="8"/>
      <c r="D43" s="149"/>
    </row>
    <row r="44" spans="3:4">
      <c r="C44" s="8"/>
      <c r="D44" s="149"/>
    </row>
    <row r="45" spans="3:4">
      <c r="C45" s="8"/>
      <c r="D45" s="149"/>
    </row>
    <row r="46" spans="3:4">
      <c r="C46" s="8"/>
      <c r="D46" s="149"/>
    </row>
    <row r="47" spans="3:4">
      <c r="C47" s="8"/>
      <c r="D47" s="149"/>
    </row>
    <row r="48" spans="3:4">
      <c r="C48" s="8"/>
      <c r="D48" s="149"/>
    </row>
    <row r="49" spans="3:4">
      <c r="C49" s="8"/>
      <c r="D49" s="149"/>
    </row>
    <row r="50" spans="3:4">
      <c r="C50" s="8"/>
      <c r="D50" s="149"/>
    </row>
    <row r="51" spans="3:4">
      <c r="C51" s="8"/>
      <c r="D51" s="149"/>
    </row>
    <row r="52" spans="3:4">
      <c r="C52" s="8"/>
      <c r="D52" s="149"/>
    </row>
    <row r="53" spans="3:4">
      <c r="C53" s="8"/>
      <c r="D53" s="149"/>
    </row>
    <row r="54" spans="3:4">
      <c r="C54" s="8"/>
      <c r="D54" s="149"/>
    </row>
    <row r="55" spans="3:4">
      <c r="C55" s="8"/>
      <c r="D55" s="149"/>
    </row>
    <row r="56" spans="3:4">
      <c r="C56" s="8"/>
      <c r="D56" s="149"/>
    </row>
    <row r="57" spans="3:4">
      <c r="C57" s="8"/>
      <c r="D57" s="149"/>
    </row>
    <row r="58" spans="3:4">
      <c r="C58" s="8"/>
      <c r="D58" s="149"/>
    </row>
    <row r="59" spans="3:4">
      <c r="C59" s="8"/>
      <c r="D59" s="149"/>
    </row>
    <row r="60" spans="3:4">
      <c r="C60" s="8"/>
      <c r="D60" s="149"/>
    </row>
    <row r="61" spans="3:4">
      <c r="C61" s="8"/>
      <c r="D61" s="149"/>
    </row>
    <row r="62" spans="3:4">
      <c r="C62" s="8"/>
      <c r="D62" s="149"/>
    </row>
    <row r="63" spans="3:4">
      <c r="C63" s="8"/>
      <c r="D63" s="149"/>
    </row>
    <row r="64" spans="3:4">
      <c r="C64" s="8"/>
      <c r="D64" s="149"/>
    </row>
    <row r="65" spans="3:4">
      <c r="C65" s="8"/>
      <c r="D65" s="149"/>
    </row>
    <row r="66" spans="3:4">
      <c r="C66" s="8"/>
      <c r="D66" s="149"/>
    </row>
    <row r="67" spans="3:4">
      <c r="C67" s="8"/>
      <c r="D67" s="149"/>
    </row>
    <row r="68" spans="3:4">
      <c r="C68" s="8"/>
      <c r="D68" s="149"/>
    </row>
    <row r="69" spans="3:4">
      <c r="C69" s="8"/>
      <c r="D69" s="149"/>
    </row>
    <row r="70" spans="3:4">
      <c r="C70" s="8"/>
      <c r="D70" s="149"/>
    </row>
    <row r="71" spans="3:4">
      <c r="C71" s="8"/>
      <c r="D71" s="149"/>
    </row>
    <row r="72" spans="3:4">
      <c r="C72" s="8"/>
      <c r="D72" s="149"/>
    </row>
    <row r="73" spans="3:4">
      <c r="C73" s="8"/>
      <c r="D73" s="149"/>
    </row>
    <row r="74" spans="3:4">
      <c r="C74" s="8"/>
      <c r="D74" s="149"/>
    </row>
    <row r="75" spans="3:4">
      <c r="C75" s="8"/>
      <c r="D75" s="149"/>
    </row>
    <row r="76" spans="3:4">
      <c r="C76" s="8"/>
      <c r="D76" s="149"/>
    </row>
    <row r="77" spans="3:4">
      <c r="C77" s="8"/>
      <c r="D77" s="149"/>
    </row>
    <row r="78" spans="3:4">
      <c r="C78" s="8"/>
      <c r="D78" s="149"/>
    </row>
    <row r="79" spans="3:4">
      <c r="C79" s="8"/>
      <c r="D79" s="149"/>
    </row>
    <row r="80" spans="3:4">
      <c r="C80" s="8"/>
      <c r="D80" s="149"/>
    </row>
    <row r="81" spans="3:4">
      <c r="C81" s="8"/>
      <c r="D81" s="149"/>
    </row>
    <row r="82" spans="3:4">
      <c r="C82" s="8"/>
      <c r="D82" s="149"/>
    </row>
    <row r="83" spans="3:4">
      <c r="C83" s="8"/>
      <c r="D83" s="149"/>
    </row>
    <row r="84" spans="3:4">
      <c r="C84" s="8"/>
      <c r="D84" s="149"/>
    </row>
    <row r="85" spans="3:4">
      <c r="C85" s="8"/>
      <c r="D85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topLeftCell="A4" workbookViewId="0">
      <selection activeCell="F51" sqref="F51:F53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7"/>
      <c r="F2" s="38"/>
      <c r="G2" s="38"/>
    </row>
    <row r="3" spans="2:10" s="44" customFormat="1" ht="18.75">
      <c r="B3" s="36" t="s">
        <v>77</v>
      </c>
      <c r="C3" s="37"/>
      <c r="F3" s="38"/>
      <c r="G3" s="38"/>
    </row>
    <row r="4" spans="2:10" ht="13.5" thickBot="1">
      <c r="B4" s="39" t="s">
        <v>0</v>
      </c>
      <c r="C4" s="39" t="s">
        <v>63</v>
      </c>
      <c r="D4" s="39" t="s">
        <v>113</v>
      </c>
      <c r="E4" s="39" t="s">
        <v>114</v>
      </c>
      <c r="F4" s="39" t="s">
        <v>115</v>
      </c>
      <c r="G4" s="39" t="s">
        <v>116</v>
      </c>
      <c r="H4" s="39" t="s">
        <v>372</v>
      </c>
      <c r="I4" s="39" t="s">
        <v>66</v>
      </c>
      <c r="J4" s="39" t="s">
        <v>67</v>
      </c>
    </row>
    <row r="5" spans="2:10" ht="13.5" thickBot="1">
      <c r="B5" s="40" t="s">
        <v>51</v>
      </c>
      <c r="C5" s="40" t="s">
        <v>61</v>
      </c>
      <c r="D5" s="40" t="s">
        <v>61</v>
      </c>
      <c r="E5" s="40" t="s">
        <v>61</v>
      </c>
      <c r="F5" s="40"/>
      <c r="G5" s="40"/>
      <c r="H5" s="40"/>
      <c r="I5" s="40"/>
      <c r="J5" s="40"/>
    </row>
    <row r="6" spans="2:10">
      <c r="B6" s="41" t="s">
        <v>125</v>
      </c>
      <c r="C6" s="42">
        <f>+G21</f>
        <v>92</v>
      </c>
      <c r="D6" s="43">
        <f>+E16</f>
        <v>66.58</v>
      </c>
      <c r="E6" s="42">
        <f>+E18</f>
        <v>69.69</v>
      </c>
      <c r="F6" s="42">
        <f>+E21</f>
        <v>60.43</v>
      </c>
      <c r="G6" s="42">
        <f>+E23</f>
        <v>72.91</v>
      </c>
      <c r="H6" s="42">
        <f>+C26</f>
        <v>53.96</v>
      </c>
      <c r="I6" s="42"/>
      <c r="J6" s="42"/>
    </row>
    <row r="7" spans="2:10">
      <c r="F7" s="38"/>
      <c r="G7" s="38"/>
    </row>
    <row r="12" spans="2:10">
      <c r="B12" s="112" t="s">
        <v>132</v>
      </c>
      <c r="C12" s="112"/>
      <c r="D12" s="112"/>
      <c r="E12" s="112"/>
      <c r="F12" s="112"/>
      <c r="G12" s="112"/>
    </row>
    <row r="13" spans="2:10">
      <c r="B13" s="112" t="s">
        <v>133</v>
      </c>
      <c r="C13" s="112"/>
      <c r="D13" s="112"/>
      <c r="E13" s="112"/>
      <c r="F13" s="112"/>
      <c r="G13" s="112"/>
    </row>
    <row r="14" spans="2:10" ht="15.75">
      <c r="B14" s="114" t="s">
        <v>134</v>
      </c>
      <c r="C14" s="111"/>
      <c r="D14" s="114" t="s">
        <v>135</v>
      </c>
      <c r="E14" s="111"/>
      <c r="F14" s="114" t="s">
        <v>136</v>
      </c>
      <c r="G14" s="111"/>
    </row>
    <row r="15" spans="2:10">
      <c r="B15" s="112" t="s">
        <v>137</v>
      </c>
      <c r="C15" s="112">
        <v>52.3</v>
      </c>
      <c r="D15" s="113" t="s">
        <v>138</v>
      </c>
      <c r="E15" s="112">
        <v>69.67</v>
      </c>
      <c r="F15" s="113" t="s">
        <v>111</v>
      </c>
      <c r="G15" s="112">
        <v>49.17</v>
      </c>
    </row>
    <row r="16" spans="2:10">
      <c r="B16" s="112" t="s">
        <v>139</v>
      </c>
      <c r="C16" s="112">
        <v>53.56</v>
      </c>
      <c r="D16" s="113" t="s">
        <v>140</v>
      </c>
      <c r="E16" s="112">
        <v>66.58</v>
      </c>
      <c r="F16" s="113" t="s">
        <v>141</v>
      </c>
      <c r="G16" s="112">
        <v>89.47</v>
      </c>
    </row>
    <row r="17" spans="2:7">
      <c r="B17" s="112" t="s">
        <v>142</v>
      </c>
      <c r="C17" s="112">
        <v>54.45</v>
      </c>
      <c r="D17" s="113" t="s">
        <v>143</v>
      </c>
      <c r="E17" s="112">
        <v>66.790000000000006</v>
      </c>
      <c r="F17" s="113" t="s">
        <v>144</v>
      </c>
      <c r="G17" s="112">
        <v>64.2</v>
      </c>
    </row>
    <row r="18" spans="2:7">
      <c r="B18" s="112" t="s">
        <v>145</v>
      </c>
      <c r="C18" s="112">
        <v>68.14</v>
      </c>
      <c r="D18" s="113" t="s">
        <v>146</v>
      </c>
      <c r="E18" s="112">
        <v>69.69</v>
      </c>
      <c r="F18" s="113" t="s">
        <v>147</v>
      </c>
      <c r="G18" s="112">
        <v>67.260000000000005</v>
      </c>
    </row>
    <row r="19" spans="2:7">
      <c r="B19" s="112" t="s">
        <v>148</v>
      </c>
      <c r="C19" s="112">
        <v>68.14</v>
      </c>
      <c r="D19" s="113" t="s">
        <v>149</v>
      </c>
      <c r="E19" s="112">
        <v>68.53</v>
      </c>
      <c r="F19" s="113" t="s">
        <v>150</v>
      </c>
      <c r="G19" s="112">
        <v>89.47</v>
      </c>
    </row>
    <row r="20" spans="2:7" ht="15.75">
      <c r="B20" s="112" t="s">
        <v>151</v>
      </c>
      <c r="C20" s="112">
        <v>52.72</v>
      </c>
      <c r="D20" s="113" t="s">
        <v>152</v>
      </c>
      <c r="E20" s="112">
        <v>65.89</v>
      </c>
      <c r="F20" s="114" t="s">
        <v>91</v>
      </c>
      <c r="G20" s="111"/>
    </row>
    <row r="21" spans="2:7">
      <c r="B21" s="112" t="s">
        <v>153</v>
      </c>
      <c r="C21" s="112">
        <v>54.44</v>
      </c>
      <c r="D21" s="113" t="s">
        <v>59</v>
      </c>
      <c r="E21" s="112">
        <v>60.43</v>
      </c>
      <c r="F21" s="113" t="s">
        <v>154</v>
      </c>
      <c r="G21" s="112">
        <v>92</v>
      </c>
    </row>
    <row r="22" spans="2:7">
      <c r="B22" s="112" t="s">
        <v>155</v>
      </c>
      <c r="C22" s="112">
        <v>54.79</v>
      </c>
      <c r="D22" s="113" t="s">
        <v>156</v>
      </c>
      <c r="E22" s="112">
        <v>73.63</v>
      </c>
      <c r="F22" s="113" t="s">
        <v>157</v>
      </c>
      <c r="G22" s="112">
        <v>89.1</v>
      </c>
    </row>
    <row r="23" spans="2:7">
      <c r="B23" s="112" t="s">
        <v>158</v>
      </c>
      <c r="C23" s="112">
        <v>54.72</v>
      </c>
      <c r="D23" s="113" t="s">
        <v>159</v>
      </c>
      <c r="E23" s="112">
        <v>72.91</v>
      </c>
      <c r="F23" s="113" t="s">
        <v>160</v>
      </c>
      <c r="G23" s="112">
        <v>93.1</v>
      </c>
    </row>
    <row r="24" spans="2:7">
      <c r="B24" s="112" t="s">
        <v>161</v>
      </c>
      <c r="C24" s="112">
        <v>52.23</v>
      </c>
      <c r="D24" s="113" t="s">
        <v>162</v>
      </c>
      <c r="E24" s="112">
        <v>76.94</v>
      </c>
      <c r="F24" s="111"/>
    </row>
    <row r="25" spans="2:7">
      <c r="B25" s="112" t="s">
        <v>163</v>
      </c>
      <c r="C25" s="112">
        <v>53.22</v>
      </c>
      <c r="D25" s="111"/>
      <c r="E25" s="111"/>
      <c r="F25" s="112" t="s">
        <v>164</v>
      </c>
    </row>
    <row r="26" spans="2:7">
      <c r="B26" s="112" t="s">
        <v>165</v>
      </c>
      <c r="C26" s="112">
        <v>53.96</v>
      </c>
      <c r="D26" s="111"/>
      <c r="E26" s="111"/>
      <c r="F26" s="112" t="s">
        <v>166</v>
      </c>
    </row>
    <row r="27" spans="2:7">
      <c r="B27" s="112" t="s">
        <v>167</v>
      </c>
      <c r="C27" s="112">
        <v>85.54</v>
      </c>
      <c r="D27" s="111"/>
      <c r="E27" s="111"/>
      <c r="F27" s="112" t="s">
        <v>168</v>
      </c>
    </row>
    <row r="28" spans="2:7">
      <c r="B28" s="112" t="s">
        <v>169</v>
      </c>
      <c r="C28" s="112">
        <v>62.44</v>
      </c>
      <c r="D28" s="111"/>
      <c r="E28" s="111"/>
      <c r="F28" s="112" t="s">
        <v>170</v>
      </c>
    </row>
    <row r="29" spans="2:7">
      <c r="B29" s="112" t="s">
        <v>171</v>
      </c>
      <c r="C29" s="112">
        <v>83.97</v>
      </c>
      <c r="D29" s="111"/>
      <c r="E29" s="111"/>
      <c r="F29" s="112" t="s">
        <v>172</v>
      </c>
    </row>
    <row r="30" spans="2:7">
      <c r="B30" s="111"/>
      <c r="C30" s="111"/>
      <c r="D30" s="111"/>
      <c r="E30" s="111"/>
      <c r="F30" s="11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IND_data</vt:lpstr>
      <vt:lpstr>Sector_Fuels</vt:lpstr>
      <vt:lpstr>IND_PRC_COM</vt:lpstr>
      <vt:lpstr>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2022-05-29T23:38:52Z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655614197254180</vt:r8>
  </property>
</Properties>
</file>