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Z_TIMES_model-v79-t\"/>
    </mc:Choice>
  </mc:AlternateContent>
  <xr:revisionPtr revIDLastSave="0" documentId="13_ncr:1_{FD7A8C01-5D33-4AEE-AD23-4799D0C0E748}" xr6:coauthVersionLast="47" xr6:coauthVersionMax="47" xr10:uidLastSave="{00000000-0000-0000-0000-000000000000}"/>
  <bookViews>
    <workbookView xWindow="2235" yWindow="-14505" windowWidth="21600" windowHeight="11505" tabRatio="694" activeTab="1" xr2:uid="{00000000-000D-0000-FFFF-FFFF00000000}"/>
  </bookViews>
  <sheets>
    <sheet name="EECA_data_15" sheetId="159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 localSheetId="0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 localSheetId="0">#REF!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0">#REF!</definedName>
    <definedName name="hydro_temp">#REF!</definedName>
    <definedName name="input_05" localSheetId="0">#REF!</definedName>
    <definedName name="input_05">#REF!</definedName>
    <definedName name="last" localSheetId="0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 localSheetId="0">#REF!</definedName>
    <definedName name="NZ_HES_description">#REF!</definedName>
    <definedName name="PJfromGWh">277.778</definedName>
    <definedName name="_xlnm.Print_Area" localSheetId="0">EECA_data_15!$B$4:$Q$33</definedName>
    <definedName name="Print_it" localSheetId="0">[6]!Print_it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 localSheetId="0">#REF!</definedName>
    <definedName name="Technical_Notes_...">#REF!</definedName>
    <definedName name="temp" localSheetId="0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4" i="161" l="1"/>
  <c r="R107" i="161" s="1"/>
  <c r="K82" i="161"/>
  <c r="O84" i="161" l="1"/>
  <c r="S97" i="161" l="1"/>
  <c r="S96" i="161"/>
  <c r="T96" i="161"/>
  <c r="Q21" i="158"/>
  <c r="S101" i="161"/>
  <c r="K83" i="161"/>
  <c r="S103" i="161"/>
  <c r="N84" i="161"/>
  <c r="M85" i="161"/>
  <c r="S102" i="161" l="1"/>
  <c r="O83" i="161"/>
  <c r="G104" i="161"/>
  <c r="H104" i="161"/>
  <c r="I104" i="161"/>
  <c r="J104" i="161"/>
  <c r="K104" i="161"/>
  <c r="L104" i="161"/>
  <c r="M104" i="161"/>
  <c r="N104" i="161"/>
  <c r="O104" i="161"/>
  <c r="G103" i="161"/>
  <c r="H103" i="161"/>
  <c r="I103" i="161"/>
  <c r="J103" i="161"/>
  <c r="K103" i="161"/>
  <c r="L103" i="161"/>
  <c r="M103" i="161"/>
  <c r="N103" i="161"/>
  <c r="O103" i="161"/>
  <c r="D104" i="161"/>
  <c r="P86" i="161"/>
  <c r="Q86" i="161"/>
  <c r="T86" i="161"/>
  <c r="T85" i="161"/>
  <c r="K86" i="161"/>
  <c r="F104" i="161" s="1"/>
  <c r="K85" i="161"/>
  <c r="F103" i="161" s="1"/>
  <c r="F86" i="161"/>
  <c r="G86" i="161" s="1"/>
  <c r="F85" i="161"/>
  <c r="G85" i="161" s="1"/>
  <c r="E86" i="161"/>
  <c r="E85" i="161"/>
  <c r="C86" i="161"/>
  <c r="D86" i="161" s="1"/>
  <c r="F50" i="161"/>
  <c r="S22" i="158"/>
  <c r="S21" i="158"/>
  <c r="Q22" i="158"/>
  <c r="O22" i="158"/>
  <c r="O21" i="158"/>
  <c r="K21" i="158"/>
  <c r="K22" i="158" s="1"/>
  <c r="H86" i="161" s="1"/>
  <c r="D49" i="140" l="1"/>
  <c r="B49" i="140"/>
  <c r="K48" i="140"/>
  <c r="J48" i="140"/>
  <c r="I48" i="140"/>
  <c r="L41" i="140"/>
  <c r="L39" i="140"/>
  <c r="O26" i="158" l="1"/>
  <c r="N26" i="158"/>
  <c r="M26" i="158"/>
  <c r="L26" i="158"/>
  <c r="O25" i="158"/>
  <c r="N25" i="158"/>
  <c r="M25" i="158"/>
  <c r="L25" i="158"/>
  <c r="O24" i="158"/>
  <c r="N24" i="158"/>
  <c r="M24" i="158"/>
  <c r="L24" i="158"/>
  <c r="O23" i="158"/>
  <c r="N23" i="158"/>
  <c r="M23" i="158"/>
  <c r="L23" i="158"/>
  <c r="O17" i="158"/>
  <c r="N17" i="158"/>
  <c r="M17" i="158"/>
  <c r="L17" i="158"/>
  <c r="O16" i="158"/>
  <c r="N16" i="158"/>
  <c r="M16" i="158"/>
  <c r="L16" i="158"/>
  <c r="O15" i="158"/>
  <c r="N15" i="158"/>
  <c r="M15" i="158"/>
  <c r="L15" i="158"/>
  <c r="O14" i="158"/>
  <c r="N14" i="158"/>
  <c r="M14" i="158"/>
  <c r="L14" i="158"/>
  <c r="O13" i="158"/>
  <c r="N13" i="158"/>
  <c r="M13" i="158"/>
  <c r="L13" i="158"/>
  <c r="O12" i="158"/>
  <c r="N12" i="158"/>
  <c r="M12" i="158"/>
  <c r="L12" i="158"/>
  <c r="O11" i="158"/>
  <c r="N11" i="158"/>
  <c r="M11" i="158"/>
  <c r="L11" i="158"/>
  <c r="O10" i="158"/>
  <c r="N10" i="158"/>
  <c r="M10" i="158"/>
  <c r="L10" i="158"/>
  <c r="O9" i="158"/>
  <c r="N9" i="158"/>
  <c r="M9" i="158"/>
  <c r="L9" i="158"/>
  <c r="O8" i="158"/>
  <c r="N8" i="158"/>
  <c r="M8" i="158"/>
  <c r="L8" i="158"/>
  <c r="O7" i="158"/>
  <c r="N7" i="158"/>
  <c r="M7" i="158"/>
  <c r="L7" i="158"/>
  <c r="O6" i="158"/>
  <c r="N6" i="158"/>
  <c r="M6" i="158"/>
  <c r="L6" i="158"/>
  <c r="O5" i="158"/>
  <c r="N5" i="158"/>
  <c r="M5" i="158"/>
  <c r="L5" i="158"/>
  <c r="Q6" i="159" l="1"/>
  <c r="Q7" i="159"/>
  <c r="Q8" i="159"/>
  <c r="Q9" i="159"/>
  <c r="Q10" i="159"/>
  <c r="Q11" i="159"/>
  <c r="Q12" i="159"/>
  <c r="Q13" i="159"/>
  <c r="Q14" i="159"/>
  <c r="Q15" i="159"/>
  <c r="Q16" i="159"/>
  <c r="Q17" i="159"/>
  <c r="Q18" i="159"/>
  <c r="Q19" i="159"/>
  <c r="Q20" i="159"/>
  <c r="Q21" i="159"/>
  <c r="Q22" i="159"/>
  <c r="Q23" i="159"/>
  <c r="Q24" i="159"/>
  <c r="Q25" i="159"/>
  <c r="Q26" i="159"/>
  <c r="Q27" i="159"/>
  <c r="Q28" i="159"/>
  <c r="Q29" i="159"/>
  <c r="Q30" i="159"/>
  <c r="Q31" i="159"/>
  <c r="Q32" i="159"/>
  <c r="Q33" i="159"/>
  <c r="Q5" i="159"/>
  <c r="H110" i="161" l="1"/>
  <c r="I110" i="161"/>
  <c r="J110" i="161"/>
  <c r="K110" i="161"/>
  <c r="L110" i="161"/>
  <c r="M110" i="161"/>
  <c r="N110" i="161"/>
  <c r="O110" i="161"/>
  <c r="G110" i="161"/>
  <c r="J92" i="161"/>
  <c r="J91" i="161"/>
  <c r="J90" i="161"/>
  <c r="J89" i="161"/>
  <c r="J88" i="161"/>
  <c r="J87" i="161"/>
  <c r="S85" i="161"/>
  <c r="S84" i="161"/>
  <c r="F84" i="161"/>
  <c r="S83" i="161"/>
  <c r="J83" i="161"/>
  <c r="F83" i="161"/>
  <c r="S82" i="161"/>
  <c r="J82" i="161"/>
  <c r="F82" i="161"/>
  <c r="S81" i="161"/>
  <c r="J81" i="161"/>
  <c r="F81" i="161"/>
  <c r="S80" i="161"/>
  <c r="J80" i="161"/>
  <c r="F80" i="161"/>
  <c r="S79" i="161"/>
  <c r="J79" i="161"/>
  <c r="F79" i="161"/>
  <c r="S78" i="161"/>
  <c r="J78" i="161"/>
  <c r="F78" i="161"/>
  <c r="S77" i="161"/>
  <c r="F77" i="161"/>
  <c r="S76" i="161"/>
  <c r="J76" i="161"/>
  <c r="F76" i="161"/>
  <c r="S75" i="161"/>
  <c r="J75" i="161"/>
  <c r="F75" i="161"/>
  <c r="S74" i="161"/>
  <c r="J74" i="161"/>
  <c r="F74" i="161"/>
  <c r="S73" i="161"/>
  <c r="J73" i="161"/>
  <c r="F73" i="161"/>
  <c r="S70" i="161"/>
  <c r="J70" i="161"/>
  <c r="S69" i="161"/>
  <c r="J69" i="161"/>
  <c r="F69" i="161"/>
  <c r="S68" i="161"/>
  <c r="J68" i="161"/>
  <c r="F68" i="161"/>
  <c r="S67" i="161"/>
  <c r="J67" i="161"/>
  <c r="F67" i="161"/>
  <c r="S66" i="161"/>
  <c r="F49" i="161"/>
  <c r="F48" i="161"/>
  <c r="F47" i="161"/>
  <c r="F46" i="161"/>
  <c r="F45" i="161"/>
  <c r="F44" i="161"/>
  <c r="F43" i="161"/>
  <c r="F41" i="161"/>
  <c r="E41" i="161"/>
  <c r="C77" i="161" s="1"/>
  <c r="D77" i="161" s="1"/>
  <c r="F40" i="161"/>
  <c r="E40" i="161"/>
  <c r="F39" i="161"/>
  <c r="E39" i="161"/>
  <c r="C75" i="161" s="1"/>
  <c r="F38" i="161"/>
  <c r="E38" i="161"/>
  <c r="C74" i="161" s="1"/>
  <c r="D74" i="161" s="1"/>
  <c r="F37" i="161"/>
  <c r="E37" i="161"/>
  <c r="C73" i="161" s="1"/>
  <c r="D73" i="161" s="1"/>
  <c r="F36" i="161"/>
  <c r="E36" i="161"/>
  <c r="C70" i="161" s="1"/>
  <c r="F35" i="161"/>
  <c r="E35" i="161"/>
  <c r="C69" i="161" s="1"/>
  <c r="D69" i="161" s="1"/>
  <c r="F34" i="161"/>
  <c r="E34" i="161"/>
  <c r="C68" i="161" s="1"/>
  <c r="D68" i="161" s="1"/>
  <c r="F33" i="161"/>
  <c r="E33" i="161"/>
  <c r="C67" i="161" s="1"/>
  <c r="F32" i="161"/>
  <c r="E32" i="161"/>
  <c r="C66" i="161" s="1"/>
  <c r="F31" i="161"/>
  <c r="E31" i="161"/>
  <c r="C65" i="161" s="1"/>
  <c r="D65" i="161" s="1"/>
  <c r="F30" i="161"/>
  <c r="E30" i="161"/>
  <c r="C64" i="161" s="1"/>
  <c r="D64" i="161" s="1"/>
  <c r="J66" i="161"/>
  <c r="F66" i="161"/>
  <c r="Z72" i="161" s="1"/>
  <c r="S65" i="161"/>
  <c r="J65" i="161"/>
  <c r="F65" i="161"/>
  <c r="S64" i="161"/>
  <c r="J64" i="161"/>
  <c r="F64" i="161"/>
  <c r="Z71" i="161" s="1"/>
  <c r="C108" i="161"/>
  <c r="C107" i="161"/>
  <c r="C106" i="161"/>
  <c r="C105" i="161"/>
  <c r="C103" i="161"/>
  <c r="C102" i="161"/>
  <c r="C101" i="161"/>
  <c r="C100" i="161"/>
  <c r="C99" i="161"/>
  <c r="C98" i="161"/>
  <c r="E92" i="161"/>
  <c r="C110" i="161" s="1"/>
  <c r="C92" i="161"/>
  <c r="E91" i="161"/>
  <c r="C109" i="161" s="1"/>
  <c r="C91" i="161"/>
  <c r="E90" i="161"/>
  <c r="C90" i="161"/>
  <c r="E89" i="161"/>
  <c r="C89" i="161"/>
  <c r="D89" i="161" s="1"/>
  <c r="E88" i="161"/>
  <c r="C88" i="161"/>
  <c r="E87" i="161"/>
  <c r="C87" i="161"/>
  <c r="C85" i="161"/>
  <c r="D85" i="161" s="1"/>
  <c r="E84" i="161"/>
  <c r="C84" i="161"/>
  <c r="D84" i="161" s="1"/>
  <c r="E83" i="161"/>
  <c r="C83" i="161"/>
  <c r="D83" i="161" s="1"/>
  <c r="E82" i="161"/>
  <c r="C82" i="161"/>
  <c r="D82" i="161" s="1"/>
  <c r="E81" i="161"/>
  <c r="C81" i="161"/>
  <c r="D81" i="161" s="1"/>
  <c r="D92" i="161" s="1"/>
  <c r="E80" i="161"/>
  <c r="C80" i="161"/>
  <c r="D80" i="161" s="1"/>
  <c r="D91" i="161" s="1"/>
  <c r="E79" i="161"/>
  <c r="C79" i="161"/>
  <c r="D79" i="161" s="1"/>
  <c r="E78" i="161"/>
  <c r="C78" i="161"/>
  <c r="D78" i="161" s="1"/>
  <c r="E77" i="161"/>
  <c r="E76" i="161"/>
  <c r="E75" i="161"/>
  <c r="E74" i="161"/>
  <c r="E73" i="161"/>
  <c r="E70" i="161"/>
  <c r="E69" i="161"/>
  <c r="E68" i="161"/>
  <c r="E67" i="161"/>
  <c r="E66" i="161"/>
  <c r="M65" i="161"/>
  <c r="M66" i="161" s="1"/>
  <c r="E65" i="161"/>
  <c r="E64" i="161"/>
  <c r="C76" i="161"/>
  <c r="D76" i="161" s="1"/>
  <c r="N64" i="161" l="1"/>
  <c r="D103" i="161"/>
  <c r="E103" i="161" s="1"/>
  <c r="D108" i="161"/>
  <c r="D105" i="161"/>
  <c r="M67" i="161"/>
  <c r="M68" i="161" s="1"/>
  <c r="D109" i="161"/>
  <c r="N66" i="161"/>
  <c r="N67" i="161" s="1"/>
  <c r="D110" i="161"/>
  <c r="D101" i="161"/>
  <c r="D106" i="161"/>
  <c r="N65" i="161"/>
  <c r="D98" i="161"/>
  <c r="D107" i="161"/>
  <c r="D100" i="161"/>
  <c r="P78" i="161"/>
  <c r="P85" i="161"/>
  <c r="P77" i="161"/>
  <c r="P76" i="161"/>
  <c r="P75" i="161"/>
  <c r="P74" i="161"/>
  <c r="P73" i="161"/>
  <c r="P70" i="161"/>
  <c r="P69" i="161"/>
  <c r="P68" i="161"/>
  <c r="P67" i="161"/>
  <c r="P66" i="161"/>
  <c r="P65" i="161"/>
  <c r="P64" i="161"/>
  <c r="P26" i="158"/>
  <c r="Q78" i="161" s="1"/>
  <c r="P25" i="158"/>
  <c r="Q81" i="161" s="1"/>
  <c r="P24" i="158"/>
  <c r="Q80" i="161" s="1"/>
  <c r="P23" i="158"/>
  <c r="Q79" i="161" s="1"/>
  <c r="Q85" i="161"/>
  <c r="Q84" i="161"/>
  <c r="Q83" i="161"/>
  <c r="Q82" i="161"/>
  <c r="P17" i="158"/>
  <c r="Q77" i="161" s="1"/>
  <c r="P16" i="158"/>
  <c r="Q76" i="161" s="1"/>
  <c r="P15" i="158"/>
  <c r="Q75" i="161" s="1"/>
  <c r="P14" i="158"/>
  <c r="Q74" i="161" s="1"/>
  <c r="P13" i="158"/>
  <c r="Q73" i="161" s="1"/>
  <c r="P12" i="158"/>
  <c r="P11" i="158"/>
  <c r="Q70" i="161" s="1"/>
  <c r="P10" i="158"/>
  <c r="Q69" i="161" s="1"/>
  <c r="P9" i="158"/>
  <c r="Q68" i="161" s="1"/>
  <c r="P8" i="158"/>
  <c r="Q67" i="161" s="1"/>
  <c r="P7" i="158"/>
  <c r="Q66" i="161" s="1"/>
  <c r="P6" i="158"/>
  <c r="Q65" i="161" s="1"/>
  <c r="P5" i="158"/>
  <c r="Q64" i="161" s="1"/>
  <c r="P79" i="161" l="1"/>
  <c r="P82" i="161"/>
  <c r="P83" i="161"/>
  <c r="P80" i="161"/>
  <c r="P84" i="161"/>
  <c r="P81" i="161"/>
  <c r="M69" i="161"/>
  <c r="N68" i="161"/>
  <c r="M70" i="161" l="1"/>
  <c r="N69" i="161"/>
  <c r="O109" i="161"/>
  <c r="N109" i="161"/>
  <c r="M109" i="161"/>
  <c r="L109" i="161"/>
  <c r="K109" i="161"/>
  <c r="J109" i="161"/>
  <c r="I109" i="161"/>
  <c r="H109" i="161"/>
  <c r="G109" i="161"/>
  <c r="O108" i="161"/>
  <c r="N108" i="161"/>
  <c r="M108" i="161"/>
  <c r="L108" i="161"/>
  <c r="K108" i="161"/>
  <c r="J108" i="161"/>
  <c r="I108" i="161"/>
  <c r="H108" i="161"/>
  <c r="G108" i="161"/>
  <c r="O107" i="161"/>
  <c r="N107" i="161"/>
  <c r="M107" i="161"/>
  <c r="L107" i="161"/>
  <c r="K107" i="161"/>
  <c r="J107" i="161"/>
  <c r="I107" i="161"/>
  <c r="H107" i="161"/>
  <c r="G107" i="161"/>
  <c r="O106" i="161"/>
  <c r="N106" i="161"/>
  <c r="M106" i="161"/>
  <c r="L106" i="161"/>
  <c r="K106" i="161"/>
  <c r="J106" i="161"/>
  <c r="I106" i="161"/>
  <c r="H106" i="161"/>
  <c r="G106" i="161"/>
  <c r="O105" i="161"/>
  <c r="N105" i="161"/>
  <c r="M105" i="161"/>
  <c r="L105" i="161"/>
  <c r="K105" i="161"/>
  <c r="J105" i="161"/>
  <c r="I105" i="161"/>
  <c r="H105" i="161"/>
  <c r="G105" i="161"/>
  <c r="M73" i="161" l="1"/>
  <c r="N70" i="161"/>
  <c r="M74" i="161" l="1"/>
  <c r="N73" i="161"/>
  <c r="K102" i="161" l="1"/>
  <c r="I102" i="161"/>
  <c r="G100" i="161"/>
  <c r="J100" i="161"/>
  <c r="M99" i="161"/>
  <c r="L99" i="161"/>
  <c r="G101" i="161"/>
  <c r="J101" i="161"/>
  <c r="L98" i="161"/>
  <c r="I98" i="161"/>
  <c r="M102" i="161"/>
  <c r="H100" i="161"/>
  <c r="O100" i="161"/>
  <c r="N100" i="161"/>
  <c r="G99" i="161"/>
  <c r="K99" i="161"/>
  <c r="K101" i="161"/>
  <c r="O101" i="161"/>
  <c r="N101" i="161"/>
  <c r="H98" i="161"/>
  <c r="O98" i="161"/>
  <c r="L102" i="161"/>
  <c r="J102" i="161"/>
  <c r="K100" i="161"/>
  <c r="I100" i="161"/>
  <c r="I99" i="161"/>
  <c r="J99" i="161"/>
  <c r="H101" i="161"/>
  <c r="I101" i="161"/>
  <c r="M98" i="161"/>
  <c r="J98" i="161"/>
  <c r="G102" i="161"/>
  <c r="H102" i="161"/>
  <c r="O102" i="161"/>
  <c r="N102" i="161"/>
  <c r="L100" i="161"/>
  <c r="M100" i="161"/>
  <c r="H99" i="161"/>
  <c r="O99" i="161"/>
  <c r="N99" i="161"/>
  <c r="L101" i="161"/>
  <c r="M101" i="161"/>
  <c r="G98" i="161"/>
  <c r="K98" i="161"/>
  <c r="N98" i="161"/>
  <c r="M75" i="161"/>
  <c r="N74" i="161"/>
  <c r="M76" i="161" l="1"/>
  <c r="N75" i="161"/>
  <c r="Q34" i="158"/>
  <c r="Q33" i="158"/>
  <c r="Q32" i="158"/>
  <c r="Q31" i="158"/>
  <c r="Q30" i="158"/>
  <c r="Q29" i="158"/>
  <c r="Q28" i="158"/>
  <c r="Q27" i="158"/>
  <c r="Q26" i="158"/>
  <c r="K26" i="158"/>
  <c r="H78" i="161" s="1"/>
  <c r="J26" i="158"/>
  <c r="G78" i="161" s="1"/>
  <c r="Q25" i="158"/>
  <c r="K25" i="158"/>
  <c r="H81" i="161" s="1"/>
  <c r="J25" i="158"/>
  <c r="G81" i="161" s="1"/>
  <c r="Q24" i="158"/>
  <c r="K24" i="158"/>
  <c r="H80" i="161" s="1"/>
  <c r="J24" i="158"/>
  <c r="G80" i="161" s="1"/>
  <c r="Q23" i="158"/>
  <c r="K23" i="158"/>
  <c r="H79" i="161" s="1"/>
  <c r="J23" i="158"/>
  <c r="G79" i="161" s="1"/>
  <c r="H85" i="161"/>
  <c r="K20" i="158"/>
  <c r="H84" i="161" s="1"/>
  <c r="J20" i="158"/>
  <c r="K19" i="158"/>
  <c r="H83" i="161" s="1"/>
  <c r="J19" i="158"/>
  <c r="K18" i="158"/>
  <c r="H82" i="161" s="1"/>
  <c r="J18" i="158"/>
  <c r="Q17" i="158"/>
  <c r="K17" i="158"/>
  <c r="H77" i="161" s="1"/>
  <c r="J17" i="158"/>
  <c r="G77" i="161" s="1"/>
  <c r="Q16" i="158"/>
  <c r="K16" i="158"/>
  <c r="H76" i="161" s="1"/>
  <c r="J16" i="158"/>
  <c r="G76" i="161" s="1"/>
  <c r="Q15" i="158"/>
  <c r="K15" i="158"/>
  <c r="H75" i="161" s="1"/>
  <c r="J15" i="158"/>
  <c r="G75" i="161" s="1"/>
  <c r="Q14" i="158"/>
  <c r="K14" i="158"/>
  <c r="H74" i="161" s="1"/>
  <c r="J14" i="158"/>
  <c r="G74" i="161" s="1"/>
  <c r="Q13" i="158"/>
  <c r="K13" i="158"/>
  <c r="H73" i="161" s="1"/>
  <c r="J13" i="158"/>
  <c r="G73" i="161" s="1"/>
  <c r="Q12" i="158"/>
  <c r="K12" i="158"/>
  <c r="J12" i="158"/>
  <c r="R11" i="158"/>
  <c r="Q11" i="158"/>
  <c r="K11" i="158"/>
  <c r="H70" i="161" s="1"/>
  <c r="J11" i="158"/>
  <c r="Q10" i="158"/>
  <c r="K10" i="158"/>
  <c r="H69" i="161" s="1"/>
  <c r="J10" i="158"/>
  <c r="G69" i="161" s="1"/>
  <c r="Q9" i="158"/>
  <c r="K9" i="158"/>
  <c r="H68" i="161" s="1"/>
  <c r="J9" i="158"/>
  <c r="G68" i="161" s="1"/>
  <c r="Q8" i="158"/>
  <c r="K8" i="158"/>
  <c r="H67" i="161" s="1"/>
  <c r="J8" i="158"/>
  <c r="G67" i="161" s="1"/>
  <c r="Q7" i="158"/>
  <c r="K7" i="158"/>
  <c r="H66" i="161" s="1"/>
  <c r="J7" i="158"/>
  <c r="G66" i="161" s="1"/>
  <c r="AA72" i="161" s="1"/>
  <c r="Q6" i="158"/>
  <c r="K6" i="158"/>
  <c r="H65" i="161" s="1"/>
  <c r="J6" i="158"/>
  <c r="G65" i="161" s="1"/>
  <c r="Q5" i="158"/>
  <c r="K5" i="158"/>
  <c r="H64" i="161" s="1"/>
  <c r="J5" i="158"/>
  <c r="G64" i="161" s="1"/>
  <c r="AA71" i="161" s="1"/>
  <c r="J2" i="158"/>
  <c r="G82" i="161" l="1"/>
  <c r="Q18" i="158"/>
  <c r="G83" i="161"/>
  <c r="Q19" i="158"/>
  <c r="G84" i="161"/>
  <c r="Q20" i="158"/>
  <c r="X72" i="161"/>
  <c r="X71" i="161"/>
  <c r="M77" i="161"/>
  <c r="M78" i="161" s="1"/>
  <c r="N76" i="161"/>
  <c r="N77" i="161" s="1"/>
  <c r="S34" i="158"/>
  <c r="K88" i="161" s="1"/>
  <c r="F106" i="161" s="1"/>
  <c r="E106" i="161" s="1"/>
  <c r="S33" i="158"/>
  <c r="K87" i="161" s="1"/>
  <c r="F105" i="161" l="1"/>
  <c r="E105" i="161" s="1"/>
  <c r="J77" i="161"/>
  <c r="D99" i="161" s="1"/>
  <c r="M79" i="161"/>
  <c r="N78" i="161"/>
  <c r="S6" i="158"/>
  <c r="S7" i="158"/>
  <c r="S8" i="158"/>
  <c r="S9" i="158"/>
  <c r="S10" i="158"/>
  <c r="S11" i="158"/>
  <c r="S12" i="158"/>
  <c r="S13" i="158"/>
  <c r="S14" i="158"/>
  <c r="S15" i="158"/>
  <c r="S16" i="158"/>
  <c r="S17" i="158"/>
  <c r="S18" i="158"/>
  <c r="S19" i="158"/>
  <c r="S20" i="158"/>
  <c r="S23" i="158"/>
  <c r="S24" i="158"/>
  <c r="S25" i="158"/>
  <c r="S26" i="158"/>
  <c r="S27" i="158"/>
  <c r="K89" i="161" s="1"/>
  <c r="F107" i="161" s="1"/>
  <c r="E107" i="161" s="1"/>
  <c r="S28" i="158"/>
  <c r="K90" i="161" s="1"/>
  <c r="F108" i="161" s="1"/>
  <c r="E108" i="161" s="1"/>
  <c r="S29" i="158"/>
  <c r="S30" i="158"/>
  <c r="S31" i="158"/>
  <c r="S32" i="158"/>
  <c r="S5" i="158"/>
  <c r="K92" i="161" l="1"/>
  <c r="F110" i="161" s="1"/>
  <c r="E110" i="161" s="1"/>
  <c r="T77" i="161"/>
  <c r="T68" i="161"/>
  <c r="K68" i="161"/>
  <c r="T64" i="161"/>
  <c r="K64" i="161"/>
  <c r="K91" i="161"/>
  <c r="F109" i="161" s="1"/>
  <c r="E109" i="161" s="1"/>
  <c r="T81" i="161"/>
  <c r="K81" i="161"/>
  <c r="T84" i="161"/>
  <c r="T76" i="161"/>
  <c r="K76" i="161"/>
  <c r="T67" i="161"/>
  <c r="K67" i="161"/>
  <c r="T80" i="161"/>
  <c r="K80" i="161"/>
  <c r="T83" i="161"/>
  <c r="T75" i="161"/>
  <c r="K75" i="161"/>
  <c r="T70" i="161"/>
  <c r="K70" i="161"/>
  <c r="T66" i="161"/>
  <c r="K66" i="161"/>
  <c r="O66" i="161" s="1"/>
  <c r="O67" i="161" s="1"/>
  <c r="T79" i="161"/>
  <c r="K79" i="161"/>
  <c r="T82" i="161"/>
  <c r="T74" i="161"/>
  <c r="K74" i="161"/>
  <c r="T69" i="161"/>
  <c r="K69" i="161"/>
  <c r="O69" i="161" s="1"/>
  <c r="T65" i="161"/>
  <c r="K65" i="161"/>
  <c r="T78" i="161"/>
  <c r="K78" i="161"/>
  <c r="T73" i="161"/>
  <c r="K73" i="161"/>
  <c r="M80" i="161"/>
  <c r="N79" i="161"/>
  <c r="F101" i="161" l="1"/>
  <c r="E101" i="161" s="1"/>
  <c r="O75" i="161"/>
  <c r="F100" i="161"/>
  <c r="E100" i="161" s="1"/>
  <c r="O78" i="161"/>
  <c r="O65" i="161"/>
  <c r="F102" i="161"/>
  <c r="O76" i="161"/>
  <c r="O77" i="161" s="1"/>
  <c r="K77" i="161" s="1"/>
  <c r="F99" i="161" s="1"/>
  <c r="E99" i="161" s="1"/>
  <c r="O68" i="161"/>
  <c r="O74" i="161"/>
  <c r="O70" i="161"/>
  <c r="O79" i="161"/>
  <c r="O73" i="161"/>
  <c r="O64" i="161"/>
  <c r="F98" i="161"/>
  <c r="E98" i="161" s="1"/>
  <c r="M81" i="161"/>
  <c r="O80" i="161"/>
  <c r="N80" i="161"/>
  <c r="O81" i="161" l="1"/>
  <c r="M82" i="161"/>
  <c r="N81" i="161"/>
  <c r="H2" i="159"/>
  <c r="M83" i="161" l="1"/>
  <c r="N82" i="161"/>
  <c r="O82" i="161"/>
  <c r="M84" i="161" l="1"/>
  <c r="N83" i="161"/>
  <c r="J84" i="161" l="1"/>
  <c r="D102" i="161" s="1"/>
  <c r="E102" i="161" s="1"/>
  <c r="M86" i="161" l="1"/>
  <c r="O86" i="161" s="1"/>
  <c r="O85" i="161"/>
  <c r="N85" i="161"/>
  <c r="H6" i="149" l="1"/>
  <c r="D25" i="140" l="1"/>
  <c r="B39" i="140" s="1"/>
  <c r="D39" i="140" l="1"/>
  <c r="C39" i="140"/>
  <c r="G6" i="149" l="1"/>
  <c r="F6" i="149"/>
  <c r="E6" i="149"/>
  <c r="D6" i="149"/>
  <c r="C6" i="149"/>
  <c r="D33" i="140" l="1"/>
  <c r="B50" i="140" s="1"/>
  <c r="D50" i="140" s="1"/>
  <c r="E33" i="140"/>
  <c r="D26" i="140" l="1"/>
  <c r="B40" i="140" s="1"/>
  <c r="D27" i="140"/>
  <c r="B41" i="140" s="1"/>
  <c r="D28" i="140"/>
  <c r="B42" i="140" s="1"/>
  <c r="D29" i="140"/>
  <c r="B43" i="140" s="1"/>
  <c r="D30" i="140"/>
  <c r="B46" i="140" s="1"/>
  <c r="D46" i="140" s="1"/>
  <c r="D31" i="140"/>
  <c r="D48" i="140" s="1"/>
  <c r="C42" i="140" l="1"/>
  <c r="D42" i="140"/>
  <c r="C41" i="140"/>
  <c r="D41" i="140"/>
  <c r="C43" i="140"/>
  <c r="D43" i="140"/>
  <c r="D40" i="140"/>
  <c r="C40" i="140"/>
  <c r="D4" i="149" l="1"/>
  <c r="G4" i="149"/>
  <c r="F4" i="149"/>
  <c r="E4" i="149"/>
  <c r="C4" i="149"/>
  <c r="B6" i="149"/>
  <c r="E31" i="140"/>
  <c r="E32" i="140"/>
  <c r="E26" i="140"/>
  <c r="E27" i="140"/>
  <c r="E28" i="140"/>
  <c r="E29" i="140"/>
  <c r="E30" i="140"/>
  <c r="E25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J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R3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G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22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22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22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23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39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41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48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I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7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27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K27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28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<sst xmlns="http://schemas.openxmlformats.org/spreadsheetml/2006/main" count="1051" uniqueCount="338">
  <si>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</si>
  <si>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</si>
  <si>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</si>
  <si>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</si>
  <si>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</si>
  <si>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</si>
  <si>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</si>
  <si>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</si>
  <si>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</si>
  <si>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</si>
  <si>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</si>
  <si>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</si>
  <si>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</si>
  <si>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</si>
  <si>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</si>
  <si>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</si>
  <si>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</si>
  <si>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</si>
  <si>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</si>
  <si>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</si>
  <si>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</si>
  <si>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</si>
  <si>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</si>
  <si>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</si>
  <si>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</si>
  <si>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</si>
  <si>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</si>
  <si>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</si>
  <si>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</si>
  <si>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</si>
  <si>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</si>
  <si>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</si>
  <si>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</si>
  <si>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</si>
  <si>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</si>
  <si>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</si>
  <si>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</si>
  <si>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</si>
  <si>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</si>
  <si>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</si>
  <si>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</si>
  <si>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</si>
  <si>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</si>
  <si>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</si>
  <si>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</si>
  <si>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</si>
  <si>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</si>
  <si>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</si>
  <si>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</si>
  <si>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</si>
  <si>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</si>
  <si>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</si>
  <si>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</si>
  <si>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</si>
  <si>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</si>
  <si>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</si>
  <si>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</si>
  <si>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</si>
  <si>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</si>
  <si>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</si>
  <si>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</si>
  <si>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</si>
  <si>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</si>
  <si>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</si>
  <si>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</si>
  <si>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</si>
  <si>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</si>
  <si>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</si>
  <si>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</si>
  <si>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</si>
  <si>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</si>
  <si>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</si>
  <si>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</si>
  <si>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</si>
  <si>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</si>
  <si>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</si>
  <si>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</si>
  <si>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</si>
  <si>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</si>
  <si>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</si>
  <si>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</si>
  <si>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</si>
  <si>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</si>
  <si>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</si>
  <si>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</si>
  <si>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</si>
  <si>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</si>
  <si>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</si>
  <si>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</si>
  <si>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</si>
  <si>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</si>
  <si>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</si>
  <si>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</si>
  <si>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</si>
  <si>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</si>
  <si>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</si>
  <si>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</si>
  <si>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</si>
  <si>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</si>
  <si>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</si>
  <si>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</si>
  <si>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</si>
  <si>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</si>
  <si>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</si>
  <si>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</si>
  <si>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</si>
  <si>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</si>
  <si>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</si>
  <si>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</si>
  <si>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</si>
  <si>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</si>
  <si>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</si>
  <si>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</si>
  <si>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</si>
  <si>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</si>
  <si>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</si>
  <si>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</si>
  <si>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</si>
  <si>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</si>
  <si>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</si>
  <si>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</si>
  <si>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</si>
  <si>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</si>
  <si>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</si>
  <si>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</si>
  <si>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</si>
  <si>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</si>
  <si>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</si>
  <si>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</si>
  <si>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</si>
  <si>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</si>
  <si>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</si>
  <si>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</si>
  <si>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</si>
  <si>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</si>
  <si>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</si>
  <si>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</si>
  <si>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</si>
  <si>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</si>
  <si>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</si>
  <si>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</si>
  <si>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</si>
  <si>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</si>
  <si>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</si>
  <si>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</si>
  <si>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</si>
  <si>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</si>
  <si>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</si>
  <si>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</si>
  <si>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</si>
  <si>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</si>
  <si>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</si>
  <si>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</si>
  <si>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</si>
  <si>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</si>
  <si>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</si>
  <si>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</si>
  <si>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</si>
  <si>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</si>
  <si>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</si>
  <si>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</si>
  <si>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</si>
  <si>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</si>
  <si>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</si>
  <si>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</si>
  <si>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</si>
  <si>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</si>
  <si>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</si>
  <si>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</si>
  <si>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</si>
  <si>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T_R_Rail15</t>
  </si>
  <si>
    <t>Rail transport fuel consumption</t>
  </si>
  <si>
    <t>*ACT_BND~UP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</si>
  <si>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</si>
  <si>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</si>
  <si>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</si>
  <si>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</si>
  <si>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</si>
  <si>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</si>
  <si>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</si>
  <si>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</si>
  <si>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</si>
  <si>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</si>
  <si>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</si>
  <si>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</si>
  <si>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</si>
  <si>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</si>
  <si>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</si>
  <si>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</si>
  <si>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</si>
  <si>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</si>
  <si>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</si>
  <si>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</si>
  <si>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</si>
  <si>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</si>
  <si>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</si>
  <si>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</si>
  <si>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</si>
  <si>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</si>
  <si>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</si>
  <si>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</si>
  <si>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</si>
  <si>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</si>
  <si>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</si>
  <si>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</si>
  <si>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</si>
  <si>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</si>
  <si>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</si>
  <si>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</si>
  <si>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</si>
  <si>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</si>
  <si>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</si>
  <si>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</si>
  <si>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</si>
  <si>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</si>
  <si>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</si>
  <si>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</si>
  <si>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</si>
  <si>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</si>
  <si>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</si>
  <si>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</si>
  <si>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</si>
  <si>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</si>
  <si>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</si>
  <si>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</si>
  <si>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</si>
  <si>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</si>
  <si>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</si>
  <si>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</si>
  <si>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</si>
  <si>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</si>
  <si>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</si>
  <si>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</si>
  <si>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</si>
  <si>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</si>
  <si>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</si>
  <si>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</si>
  <si>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</si>
  <si>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Total BVKM NY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</si>
  <si>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</si>
  <si>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</si>
  <si>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</si>
  <si>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</si>
  <si>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</si>
  <si>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</si>
  <si>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</si>
  <si>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</si>
  <si>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</si>
  <si>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</si>
  <si>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</si>
  <si>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</si>
  <si>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</si>
  <si>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</si>
  <si>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</si>
  <si>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</si>
  <si>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</si>
  <si>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</si>
  <si>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</si>
  <si>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</si>
  <si>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</si>
  <si>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</si>
  <si>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</si>
  <si>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</si>
  <si>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</si>
  <si>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</si>
  <si>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</si>
  <si>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</si>
  <si>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</si>
  <si>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</si>
  <si>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</si>
  <si>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</si>
  <si>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</si>
  <si>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</si>
  <si>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</si>
  <si>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</si>
  <si>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</si>
  <si>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</si>
  <si>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</si>
  <si>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</si>
  <si>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</si>
  <si>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</si>
  <si>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</si>
  <si>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</si>
  <si>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</si>
  <si>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</si>
  <si>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</si>
  <si>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</si>
  <si>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</si>
  <si>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</si>
  <si>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</si>
  <si>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</si>
  <si>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</si>
  <si>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</si>
  <si>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</si>
  <si>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</si>
  <si>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</si>
  <si>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</si>
  <si>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</si>
  <si>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</si>
  <si>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c</t>
  </si>
  <si>
    <t>ACT_BND~2018</t>
  </si>
  <si>
    <t>ACT_BND~0</t>
  </si>
  <si>
    <t>PRC_resid~2018</t>
  </si>
  <si>
    <t>PRC_resid~2040</t>
  </si>
  <si>
    <t>PRC_resid~2045</t>
  </si>
  <si>
    <t>PRC_resid~2050</t>
  </si>
  <si>
    <t xml:space="preserve"> 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</si>
  <si>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</si>
  <si>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</si>
  <si>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</si>
  <si>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</si>
  <si>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</si>
  <si>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</si>
  <si>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</si>
  <si>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</si>
  <si>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</si>
  <si>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</si>
  <si>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</si>
  <si>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</si>
  <si>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</si>
  <si>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</si>
  <si>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</si>
  <si>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</si>
  <si>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</si>
  <si>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</si>
  <si>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*2015</t>
  </si>
  <si>
    <t>*2016</t>
  </si>
  <si>
    <t>*EFF</t>
  </si>
  <si>
    <t>*NCAP_AFA</t>
  </si>
  <si>
    <t>*PRC_resid~2015</t>
  </si>
  <si>
    <t>*CEFF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</si>
  <si>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</si>
  <si>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</si>
  <si>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</si>
  <si>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</si>
  <si>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</si>
  <si>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</si>
  <si>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AFA - calculate from MoT data - vkt and number of vehicles. Medium trucks current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</si>
</sst>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6188">
    <xf numFmtId="0" fontId="0" fillId="0" borderId="0"/>
    <xf numFmtId="0" fontId="37" fillId="29" borderId="0" applyNumberFormat="0" applyBorder="0" applyAlignment="0" applyProtection="0"/>
    <xf numFmtId="43" fontId="37" fillId="0" borderId="0" applyFont="0" applyFill="0" applyBorder="0" applyAlignment="0" applyProtection="0"/>
    <xf numFmtId="0" fontId="49" fillId="54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2" fillId="0" borderId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6" fillId="0" borderId="0">
      <alignment vertical="top"/>
    </xf>
    <xf numFmtId="0" fontId="14" fillId="0" borderId="0">
      <alignment vertical="top"/>
    </xf>
    <xf numFmtId="9" fontId="14" fillId="0" borderId="0" applyFont="0" applyFill="0" applyBorder="0" applyAlignment="0" applyProtection="0"/>
    <xf numFmtId="0" fontId="55" fillId="0" borderId="0"/>
    <xf numFmtId="0" fontId="19" fillId="0" borderId="0"/>
    <xf numFmtId="0" fontId="72" fillId="0" borderId="0" applyNumberFormat="0" applyFill="0" applyBorder="0" applyAlignment="0" applyProtection="0">
      <alignment vertical="top"/>
      <protection locked="0"/>
    </xf>
    <xf numFmtId="168" fontId="14" fillId="0" borderId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14" fillId="0" borderId="0" applyBorder="0"/>
    <xf numFmtId="166" fontId="19" fillId="0" borderId="0"/>
    <xf numFmtId="166" fontId="19" fillId="0" borderId="0"/>
    <xf numFmtId="166" fontId="19" fillId="0" borderId="0"/>
    <xf numFmtId="0" fontId="14" fillId="0" borderId="0"/>
    <xf numFmtId="166" fontId="19" fillId="0" borderId="0"/>
    <xf numFmtId="0" fontId="14" fillId="0" borderId="0"/>
    <xf numFmtId="0" fontId="14" fillId="0" borderId="0"/>
    <xf numFmtId="0" fontId="14" fillId="0" borderId="0"/>
    <xf numFmtId="0" fontId="73" fillId="0" borderId="0"/>
    <xf numFmtId="168" fontId="19" fillId="0" borderId="0"/>
    <xf numFmtId="0" fontId="14" fillId="0" borderId="0"/>
    <xf numFmtId="0" fontId="14" fillId="0" borderId="0"/>
    <xf numFmtId="166" fontId="19" fillId="0" borderId="0"/>
    <xf numFmtId="0" fontId="66" fillId="0" borderId="0"/>
    <xf numFmtId="168" fontId="66" fillId="0" borderId="0"/>
    <xf numFmtId="166" fontId="19" fillId="0" borderId="0"/>
    <xf numFmtId="0" fontId="14" fillId="0" borderId="0" applyBorder="0"/>
    <xf numFmtId="168" fontId="14" fillId="0" borderId="0" applyBorder="0"/>
    <xf numFmtId="0" fontId="14" fillId="0" borderId="0"/>
    <xf numFmtId="168" fontId="14" fillId="0" borderId="0"/>
    <xf numFmtId="0" fontId="68" fillId="0" borderId="0"/>
    <xf numFmtId="0" fontId="68" fillId="0" borderId="0"/>
    <xf numFmtId="0" fontId="66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66" fillId="0" borderId="25" applyFont="0" applyAlignment="0">
      <alignment vertical="top" wrapText="1"/>
    </xf>
    <xf numFmtId="0" fontId="37" fillId="0" borderId="0"/>
    <xf numFmtId="169" fontId="76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169" fontId="19" fillId="60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7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37" fillId="25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169" fontId="19" fillId="60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169" fontId="19" fillId="61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26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169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169" fontId="19" fillId="63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2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37" fillId="27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169" fontId="19" fillId="6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169" fontId="19" fillId="6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28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66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169" fontId="19" fillId="62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37" fillId="29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169" fontId="19" fillId="60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169" fontId="19" fillId="6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3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23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37" fillId="30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169" fontId="19" fillId="6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6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169" fontId="19" fillId="6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20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1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69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169" fontId="19" fillId="70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37" fillId="3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169" fontId="19" fillId="71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169" fontId="19" fillId="7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22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37" fillId="3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169" fontId="19" fillId="71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3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169" fontId="19" fillId="6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20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2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37" fillId="3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169" fontId="19" fillId="73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6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169" fontId="19" fillId="6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37" fillId="3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169" fontId="19" fillId="74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169" fontId="19" fillId="7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22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22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37" fillId="36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169" fontId="19" fillId="67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6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169" fontId="20" fillId="76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4" borderId="0" applyNumberFormat="0" applyBorder="0" applyAlignment="0" applyProtection="0"/>
    <xf numFmtId="0" fontId="20" fillId="12" borderId="0" applyNumberFormat="0" applyBorder="0" applyAlignment="0" applyProtection="0"/>
    <xf numFmtId="169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38" fillId="37" borderId="0" applyNumberFormat="0" applyBorder="0" applyAlignment="0" applyProtection="0"/>
    <xf numFmtId="0" fontId="20" fillId="12" borderId="0" applyNumberFormat="0" applyBorder="0" applyAlignment="0" applyProtection="0"/>
    <xf numFmtId="169" fontId="20" fillId="77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70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8" borderId="0" applyNumberFormat="0" applyBorder="0" applyAlignment="0" applyProtection="0"/>
    <xf numFmtId="0" fontId="20" fillId="9" borderId="0" applyNumberFormat="0" applyBorder="0" applyAlignment="0" applyProtection="0"/>
    <xf numFmtId="169" fontId="20" fillId="7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169" fontId="20" fillId="72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9" borderId="0" applyNumberFormat="0" applyBorder="0" applyAlignment="0" applyProtection="0"/>
    <xf numFmtId="0" fontId="20" fillId="10" borderId="0" applyNumberFormat="0" applyBorder="0" applyAlignment="0" applyProtection="0"/>
    <xf numFmtId="169" fontId="20" fillId="78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20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0" borderId="0" applyNumberFormat="0" applyBorder="0" applyAlignment="0" applyProtection="0"/>
    <xf numFmtId="0" fontId="20" fillId="13" borderId="0" applyNumberFormat="0" applyBorder="0" applyAlignment="0" applyProtection="0"/>
    <xf numFmtId="169" fontId="20" fillId="7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6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1" borderId="0" applyNumberFormat="0" applyBorder="0" applyAlignment="0" applyProtection="0"/>
    <xf numFmtId="0" fontId="20" fillId="14" borderId="0" applyNumberFormat="0" applyBorder="0" applyAlignment="0" applyProtection="0"/>
    <xf numFmtId="169" fontId="20" fillId="7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169" fontId="20" fillId="80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38" fillId="42" borderId="0" applyNumberFormat="0" applyBorder="0" applyAlignment="0" applyProtection="0"/>
    <xf numFmtId="0" fontId="20" fillId="15" borderId="0" applyNumberFormat="0" applyBorder="0" applyAlignment="0" applyProtection="0"/>
    <xf numFmtId="169" fontId="20" fillId="67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81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169" fontId="20" fillId="82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4" borderId="0" applyNumberFormat="0" applyBorder="0" applyAlignment="0" applyProtection="0"/>
    <xf numFmtId="0" fontId="20" fillId="16" borderId="0" applyNumberFormat="0" applyBorder="0" applyAlignment="0" applyProtection="0"/>
    <xf numFmtId="169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38" fillId="43" borderId="0" applyNumberFormat="0" applyBorder="0" applyAlignment="0" applyProtection="0"/>
    <xf numFmtId="0" fontId="20" fillId="16" borderId="0" applyNumberFormat="0" applyBorder="0" applyAlignment="0" applyProtection="0"/>
    <xf numFmtId="169" fontId="20" fillId="79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9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83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169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38" fillId="44" borderId="0" applyNumberFormat="0" applyBorder="0" applyAlignment="0" applyProtection="0"/>
    <xf numFmtId="0" fontId="20" fillId="17" borderId="0" applyNumberFormat="0" applyBorder="0" applyAlignment="0" applyProtection="0"/>
    <xf numFmtId="169" fontId="20" fillId="84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1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85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169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38" fillId="45" borderId="0" applyNumberFormat="0" applyBorder="0" applyAlignment="0" applyProtection="0"/>
    <xf numFmtId="0" fontId="20" fillId="18" borderId="0" applyNumberFormat="0" applyBorder="0" applyAlignment="0" applyProtection="0"/>
    <xf numFmtId="169" fontId="20" fillId="84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169" fontId="20" fillId="69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6" borderId="0" applyNumberFormat="0" applyBorder="0" applyAlignment="0" applyProtection="0"/>
    <xf numFmtId="169" fontId="20" fillId="8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86" borderId="0" applyNumberFormat="0" applyBorder="0" applyAlignment="0" applyProtection="0"/>
    <xf numFmtId="0" fontId="20" fillId="13" borderId="0" applyNumberFormat="0" applyBorder="0" applyAlignment="0" applyProtection="0"/>
    <xf numFmtId="169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38" fillId="46" borderId="0" applyNumberFormat="0" applyBorder="0" applyAlignment="0" applyProtection="0"/>
    <xf numFmtId="0" fontId="20" fillId="13" borderId="0" applyNumberFormat="0" applyBorder="0" applyAlignment="0" applyProtection="0"/>
    <xf numFmtId="169" fontId="20" fillId="87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169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38" fillId="47" borderId="0" applyNumberFormat="0" applyBorder="0" applyAlignment="0" applyProtection="0"/>
    <xf numFmtId="0" fontId="20" fillId="14" borderId="0" applyNumberFormat="0" applyBorder="0" applyAlignment="0" applyProtection="0"/>
    <xf numFmtId="169" fontId="20" fillId="79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7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5" borderId="0" applyNumberFormat="0" applyBorder="0" applyAlignment="0" applyProtection="0"/>
    <xf numFmtId="169" fontId="20" fillId="15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5" borderId="0" applyNumberFormat="0" applyBorder="0" applyAlignment="0" applyProtection="0"/>
    <xf numFmtId="0" fontId="20" fillId="19" borderId="0" applyNumberFormat="0" applyBorder="0" applyAlignment="0" applyProtection="0"/>
    <xf numFmtId="169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38" fillId="48" borderId="0" applyNumberFormat="0" applyBorder="0" applyAlignment="0" applyProtection="0"/>
    <xf numFmtId="0" fontId="20" fillId="19" borderId="0" applyNumberFormat="0" applyBorder="0" applyAlignment="0" applyProtection="0"/>
    <xf numFmtId="169" fontId="20" fillId="88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9" fontId="77" fillId="0" borderId="0"/>
    <xf numFmtId="169" fontId="67" fillId="0" borderId="0" applyNumberFormat="0" applyFill="0" applyBorder="0" applyAlignment="0" applyProtection="0"/>
    <xf numFmtId="169" fontId="70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5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169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49" borderId="0" applyNumberFormat="0" applyBorder="0" applyAlignment="0" applyProtection="0"/>
    <xf numFmtId="0" fontId="21" fillId="3" borderId="0" applyNumberFormat="0" applyBorder="0" applyAlignment="0" applyProtection="0"/>
    <xf numFmtId="169" fontId="21" fillId="61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78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40" fillId="50" borderId="15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0" fontId="22" fillId="20" borderId="1" applyNumberFormat="0" applyAlignment="0" applyProtection="0"/>
    <xf numFmtId="0" fontId="22" fillId="89" borderId="1" applyNumberFormat="0" applyAlignment="0" applyProtection="0"/>
    <xf numFmtId="170" fontId="79" fillId="68" borderId="26">
      <alignment horizontal="center" vertical="center"/>
    </xf>
    <xf numFmtId="170" fontId="79" fillId="68" borderId="26">
      <alignment horizontal="center" vertical="center"/>
    </xf>
    <xf numFmtId="169" fontId="22" fillId="89" borderId="1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0" fontId="22" fillId="20" borderId="1" applyNumberFormat="0" applyAlignment="0" applyProtection="0"/>
    <xf numFmtId="169" fontId="22" fillId="89" borderId="1" applyNumberFormat="0" applyAlignment="0" applyProtection="0"/>
    <xf numFmtId="169" fontId="22" fillId="89" borderId="1" applyNumberFormat="0" applyAlignment="0" applyProtection="0"/>
    <xf numFmtId="169" fontId="22" fillId="20" borderId="1" applyNumberFormat="0" applyAlignment="0" applyProtection="0"/>
    <xf numFmtId="0" fontId="22" fillId="20" borderId="1" applyNumberFormat="0" applyAlignment="0" applyProtection="0"/>
    <xf numFmtId="169" fontId="22" fillId="20" borderId="1" applyNumberFormat="0" applyAlignment="0" applyProtection="0"/>
    <xf numFmtId="0" fontId="40" fillId="50" borderId="15" applyNumberFormat="0" applyAlignment="0" applyProtection="0"/>
    <xf numFmtId="0" fontId="22" fillId="20" borderId="1" applyNumberFormat="0" applyAlignment="0" applyProtection="0"/>
    <xf numFmtId="170" fontId="79" fillId="68" borderId="26">
      <alignment horizontal="center" vertical="center"/>
    </xf>
    <xf numFmtId="0" fontId="22" fillId="20" borderId="1" applyNumberFormat="0" applyAlignment="0" applyProtection="0"/>
    <xf numFmtId="0" fontId="22" fillId="20" borderId="1" applyNumberFormat="0" applyAlignment="0" applyProtection="0"/>
    <xf numFmtId="171" fontId="14" fillId="0" borderId="0"/>
    <xf numFmtId="172" fontId="14" fillId="0" borderId="0"/>
    <xf numFmtId="173" fontId="14" fillId="0" borderId="0"/>
    <xf numFmtId="174" fontId="14" fillId="0" borderId="0"/>
    <xf numFmtId="175" fontId="14" fillId="0" borderId="0"/>
    <xf numFmtId="17" fontId="14" fillId="0" borderId="0"/>
    <xf numFmtId="20" fontId="14" fillId="0" borderId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169" fontId="23" fillId="21" borderId="2" applyNumberFormat="0" applyAlignment="0" applyProtection="0"/>
    <xf numFmtId="0" fontId="23" fillId="21" borderId="2" applyNumberFormat="0" applyAlignment="0" applyProtection="0"/>
    <xf numFmtId="0" fontId="41" fillId="51" borderId="16" applyNumberFormat="0" applyAlignment="0" applyProtection="0"/>
    <xf numFmtId="0" fontId="23" fillId="21" borderId="2" applyNumberFormat="0" applyAlignment="0" applyProtection="0"/>
    <xf numFmtId="169" fontId="23" fillId="90" borderId="2" applyNumberFormat="0" applyAlignment="0" applyProtection="0"/>
    <xf numFmtId="0" fontId="23" fillId="21" borderId="2" applyNumberFormat="0" applyAlignment="0" applyProtection="0"/>
    <xf numFmtId="0" fontId="23" fillId="21" borderId="2" applyNumberFormat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80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3" fontId="14" fillId="0" borderId="0" applyFont="0" applyFill="0" applyBorder="0" applyAlignment="0" applyProtection="0"/>
    <xf numFmtId="169" fontId="14" fillId="0" borderId="0" applyBorder="0"/>
    <xf numFmtId="169" fontId="14" fillId="0" borderId="0" applyBorder="0"/>
    <xf numFmtId="169" fontId="14" fillId="0" borderId="0" applyBorder="0"/>
    <xf numFmtId="169" fontId="13" fillId="0" borderId="0"/>
    <xf numFmtId="169" fontId="13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67" fillId="0" borderId="0">
      <alignment horizontal="center"/>
    </xf>
    <xf numFmtId="169" fontId="14" fillId="0" borderId="0">
      <alignment horizontal="center"/>
    </xf>
    <xf numFmtId="169" fontId="14" fillId="0" borderId="0">
      <alignment wrapText="1"/>
    </xf>
    <xf numFmtId="169" fontId="75" fillId="0" borderId="0"/>
    <xf numFmtId="169" fontId="70" fillId="0" borderId="0"/>
    <xf numFmtId="169" fontId="70" fillId="0" borderId="0"/>
    <xf numFmtId="169" fontId="70" fillId="0" borderId="0"/>
    <xf numFmtId="169" fontId="70" fillId="0" borderId="0"/>
    <xf numFmtId="169" fontId="82" fillId="0" borderId="0"/>
    <xf numFmtId="164" fontId="66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44" fontId="80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70" fillId="0" borderId="0" applyFont="0" applyFill="0" applyBorder="0" applyAlignment="0" applyProtection="0"/>
    <xf numFmtId="176" fontId="83" fillId="0" borderId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4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4" fontId="66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9" fontId="84" fillId="0" borderId="0"/>
    <xf numFmtId="169" fontId="85" fillId="0" borderId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6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63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169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43" fillId="52" borderId="0" applyNumberFormat="0" applyBorder="0" applyAlignment="0" applyProtection="0"/>
    <xf numFmtId="0" fontId="25" fillId="4" borderId="0" applyNumberFormat="0" applyBorder="0" applyAlignment="0" applyProtection="0"/>
    <xf numFmtId="169" fontId="25" fillId="91" borderId="0" applyNumberFormat="0" applyBorder="0" applyAlignment="0" applyProtection="0"/>
    <xf numFmtId="0" fontId="25" fillId="4" borderId="0" applyNumberFormat="0" applyBorder="0" applyAlignment="0" applyProtection="0"/>
    <xf numFmtId="0" fontId="25" fillId="4" borderId="0" applyNumberFormat="0" applyBorder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169" fontId="26" fillId="0" borderId="3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86" fillId="0" borderId="28" applyNumberFormat="0" applyFill="0" applyAlignment="0" applyProtection="0"/>
    <xf numFmtId="169" fontId="26" fillId="0" borderId="3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0" fontId="44" fillId="0" borderId="17" applyNumberFormat="0" applyFill="0" applyAlignment="0" applyProtection="0"/>
    <xf numFmtId="0" fontId="26" fillId="0" borderId="3" applyNumberFormat="0" applyFill="0" applyAlignment="0" applyProtection="0"/>
    <xf numFmtId="169" fontId="86" fillId="0" borderId="28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29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87" fillId="0" borderId="4" applyNumberFormat="0" applyFill="0" applyAlignment="0" applyProtection="0"/>
    <xf numFmtId="169" fontId="87" fillId="0" borderId="4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87" fillId="0" borderId="4" applyNumberFormat="0" applyFill="0" applyAlignment="0" applyProtection="0"/>
    <xf numFmtId="0" fontId="27" fillId="0" borderId="4" applyNumberFormat="0" applyFill="0" applyAlignment="0" applyProtection="0"/>
    <xf numFmtId="169" fontId="27" fillId="0" borderId="4" applyNumberFormat="0" applyFill="0" applyAlignment="0" applyProtection="0"/>
    <xf numFmtId="0" fontId="27" fillId="0" borderId="4" applyNumberFormat="0" applyFill="0" applyAlignment="0" applyProtection="0"/>
    <xf numFmtId="0" fontId="45" fillId="0" borderId="18" applyNumberFormat="0" applyFill="0" applyAlignment="0" applyProtection="0"/>
    <xf numFmtId="0" fontId="27" fillId="0" borderId="4" applyNumberFormat="0" applyFill="0" applyAlignment="0" applyProtection="0"/>
    <xf numFmtId="169" fontId="87" fillId="0" borderId="30" applyNumberFormat="0" applyFill="0" applyAlignment="0" applyProtection="0"/>
    <xf numFmtId="0" fontId="27" fillId="0" borderId="4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1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88" fillId="0" borderId="32" applyNumberFormat="0" applyFill="0" applyAlignment="0" applyProtection="0"/>
    <xf numFmtId="169" fontId="88" fillId="0" borderId="32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88" fillId="0" borderId="32" applyNumberFormat="0" applyFill="0" applyAlignment="0" applyProtection="0"/>
    <xf numFmtId="0" fontId="28" fillId="0" borderId="5" applyNumberFormat="0" applyFill="0" applyAlignment="0" applyProtection="0"/>
    <xf numFmtId="169" fontId="28" fillId="0" borderId="5" applyNumberFormat="0" applyFill="0" applyAlignment="0" applyProtection="0"/>
    <xf numFmtId="0" fontId="28" fillId="0" borderId="5" applyNumberFormat="0" applyFill="0" applyAlignment="0" applyProtection="0"/>
    <xf numFmtId="0" fontId="46" fillId="0" borderId="19" applyNumberFormat="0" applyFill="0" applyAlignment="0" applyProtection="0"/>
    <xf numFmtId="0" fontId="28" fillId="0" borderId="5" applyNumberFormat="0" applyFill="0" applyAlignment="0" applyProtection="0"/>
    <xf numFmtId="169" fontId="88" fillId="0" borderId="33" applyNumberFormat="0" applyFill="0" applyAlignment="0" applyProtection="0"/>
    <xf numFmtId="0" fontId="28" fillId="0" borderId="5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169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69" fontId="8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71" fontId="71" fillId="92" borderId="0"/>
    <xf numFmtId="172" fontId="71" fillId="92" borderId="0"/>
    <xf numFmtId="173" fontId="71" fillId="92" borderId="0"/>
    <xf numFmtId="169" fontId="14" fillId="92" borderId="0">
      <protection locked="0"/>
    </xf>
    <xf numFmtId="176" fontId="14" fillId="92" borderId="0">
      <protection locked="0"/>
    </xf>
    <xf numFmtId="174" fontId="14" fillId="92" borderId="0">
      <protection locked="0"/>
    </xf>
    <xf numFmtId="175" fontId="14" fillId="92" borderId="0">
      <protection locked="0"/>
    </xf>
    <xf numFmtId="17" fontId="14" fillId="92" borderId="0">
      <protection locked="0"/>
    </xf>
    <xf numFmtId="20" fontId="14" fillId="92" borderId="0"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47" fillId="53" borderId="15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7" borderId="1" applyNumberFormat="0" applyAlignment="0" applyProtection="0"/>
    <xf numFmtId="0" fontId="29" fillId="22" borderId="1" applyNumberFormat="0" applyAlignment="0" applyProtection="0"/>
    <xf numFmtId="169" fontId="79" fillId="93" borderId="26" applyNumberFormat="0">
      <alignment horizontal="center" vertical="center"/>
      <protection locked="0"/>
    </xf>
    <xf numFmtId="169" fontId="79" fillId="93" borderId="26" applyNumberFormat="0">
      <alignment horizontal="center" vertical="center"/>
      <protection locked="0"/>
    </xf>
    <xf numFmtId="169" fontId="29" fillId="22" borderId="1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0" fontId="29" fillId="7" borderId="1" applyNumberFormat="0" applyAlignment="0" applyProtection="0"/>
    <xf numFmtId="169" fontId="29" fillId="22" borderId="1" applyNumberFormat="0" applyAlignment="0" applyProtection="0"/>
    <xf numFmtId="169" fontId="29" fillId="22" borderId="1" applyNumberFormat="0" applyAlignment="0" applyProtection="0"/>
    <xf numFmtId="169" fontId="29" fillId="7" borderId="1" applyNumberFormat="0" applyAlignment="0" applyProtection="0"/>
    <xf numFmtId="0" fontId="29" fillId="7" borderId="1" applyNumberFormat="0" applyAlignment="0" applyProtection="0"/>
    <xf numFmtId="169" fontId="29" fillId="7" borderId="1" applyNumberFormat="0" applyAlignment="0" applyProtection="0"/>
    <xf numFmtId="0" fontId="47" fillId="53" borderId="15" applyNumberFormat="0" applyAlignment="0" applyProtection="0"/>
    <xf numFmtId="0" fontId="29" fillId="7" borderId="1" applyNumberFormat="0" applyAlignment="0" applyProtection="0"/>
    <xf numFmtId="169" fontId="79" fillId="93" borderId="26" applyNumberFormat="0">
      <alignment horizontal="center" vertical="center"/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169" fontId="14" fillId="92" borderId="0">
      <protection locked="0"/>
    </xf>
    <xf numFmtId="169" fontId="14" fillId="92" borderId="0">
      <protection locked="0"/>
    </xf>
    <xf numFmtId="169" fontId="13" fillId="92" borderId="0">
      <protection locked="0"/>
    </xf>
    <xf numFmtId="169" fontId="14" fillId="92" borderId="0">
      <alignment horizontal="center"/>
      <protection locked="0"/>
    </xf>
    <xf numFmtId="169" fontId="14" fillId="92" borderId="0">
      <protection locked="0"/>
    </xf>
    <xf numFmtId="169" fontId="14" fillId="92" borderId="0"/>
    <xf numFmtId="169" fontId="14" fillId="92" borderId="0">
      <alignment wrapText="1"/>
      <protection locked="0"/>
    </xf>
    <xf numFmtId="169" fontId="75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70" fillId="92" borderId="0">
      <protection locked="0"/>
    </xf>
    <xf numFmtId="169" fontId="82" fillId="92" borderId="0">
      <protection locked="0"/>
    </xf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5" fillId="0" borderId="34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30" fillId="0" borderId="6" applyNumberFormat="0" applyFill="0" applyAlignment="0" applyProtection="0"/>
    <xf numFmtId="169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89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169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49" fillId="54" borderId="0" applyNumberFormat="0" applyBorder="0" applyAlignment="0" applyProtection="0"/>
    <xf numFmtId="0" fontId="31" fillId="22" borderId="0" applyNumberFormat="0" applyBorder="0" applyAlignment="0" applyProtection="0"/>
    <xf numFmtId="169" fontId="31" fillId="94" borderId="0" applyNumberFormat="0" applyBorder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171" fontId="70" fillId="0" borderId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169" fontId="14" fillId="0" borderId="0"/>
    <xf numFmtId="169" fontId="14" fillId="0" borderId="0"/>
    <xf numFmtId="0" fontId="66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14" fillId="0" borderId="0"/>
    <xf numFmtId="0" fontId="56" fillId="0" borderId="0">
      <alignment vertical="center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55" fillId="0" borderId="0"/>
    <xf numFmtId="0" fontId="14" fillId="0" borderId="0"/>
    <xf numFmtId="0" fontId="14" fillId="0" borderId="0"/>
    <xf numFmtId="0" fontId="14" fillId="0" borderId="0"/>
    <xf numFmtId="169" fontId="68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6" fillId="0" borderId="0"/>
    <xf numFmtId="0" fontId="14" fillId="0" borderId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56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169" fontId="83" fillId="93" borderId="7" applyNumberForma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169" fontId="83" fillId="94" borderId="7" applyNumberForma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169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169" fontId="83" fillId="94" borderId="7" applyNumberForma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23" borderId="7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0" fontId="19" fillId="55" borderId="21" applyNumberFormat="0" applyFont="0" applyAlignment="0" applyProtection="0"/>
    <xf numFmtId="177" fontId="74" fillId="0" borderId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169" fontId="32" fillId="73" borderId="8" applyNumberFormat="0" applyAlignment="0" applyProtection="0"/>
    <xf numFmtId="0" fontId="32" fillId="20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0" fontId="32" fillId="89" borderId="8" applyNumberFormat="0" applyAlignment="0" applyProtection="0"/>
    <xf numFmtId="169" fontId="32" fillId="60" borderId="8" applyNumberFormat="0" applyAlignment="0" applyProtection="0"/>
    <xf numFmtId="169" fontId="32" fillId="60" borderId="8" applyNumberFormat="0" applyAlignment="0" applyProtection="0"/>
    <xf numFmtId="169" fontId="32" fillId="89" borderId="8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0" fontId="32" fillId="20" borderId="8" applyNumberFormat="0" applyAlignment="0" applyProtection="0"/>
    <xf numFmtId="169" fontId="32" fillId="89" borderId="8" applyNumberFormat="0" applyAlignment="0" applyProtection="0"/>
    <xf numFmtId="169" fontId="32" fillId="89" borderId="8" applyNumberFormat="0" applyAlignment="0" applyProtection="0"/>
    <xf numFmtId="169" fontId="32" fillId="20" borderId="8" applyNumberFormat="0" applyAlignment="0" applyProtection="0"/>
    <xf numFmtId="0" fontId="32" fillId="20" borderId="8" applyNumberFormat="0" applyAlignment="0" applyProtection="0"/>
    <xf numFmtId="169" fontId="32" fillId="20" borderId="8" applyNumberFormat="0" applyAlignment="0" applyProtection="0"/>
    <xf numFmtId="0" fontId="50" fillId="50" borderId="22" applyNumberFormat="0" applyAlignment="0" applyProtection="0"/>
    <xf numFmtId="0" fontId="32" fillId="20" borderId="8" applyNumberFormat="0" applyAlignment="0" applyProtection="0"/>
    <xf numFmtId="169" fontId="32" fillId="60" borderId="8" applyNumberForma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9" fontId="14" fillId="0" borderId="0" applyFont="0" applyFill="0" applyBorder="0" applyAlignment="0" applyProtection="0"/>
    <xf numFmtId="9" fontId="83" fillId="0" borderId="0" applyFill="0" applyBorder="0" applyAlignment="0" applyProtection="0"/>
    <xf numFmtId="9" fontId="14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66" fillId="0" borderId="0" applyFont="0" applyFill="0" applyBorder="0" applyAlignment="0" applyProtection="0"/>
    <xf numFmtId="9" fontId="14" fillId="0" borderId="0" applyFont="0" applyFill="0" applyBorder="0" applyAlignment="0" applyProtection="0"/>
    <xf numFmtId="169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83" fillId="0" borderId="0" applyNumberFormat="0" applyFill="0" applyBorder="0" applyAlignment="0" applyProtection="0"/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0" fontId="68" fillId="0" borderId="0" applyNumberFormat="0" applyFont="0" applyFill="0" applyBorder="0" applyAlignment="0" applyProtection="0">
      <alignment horizontal="left"/>
    </xf>
    <xf numFmtId="169" fontId="68" fillId="0" borderId="0" applyNumberFormat="0" applyFont="0" applyFill="0" applyBorder="0" applyAlignment="0" applyProtection="0">
      <alignment horizontal="left"/>
    </xf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83" fillId="0" borderId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15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83" fillId="0" borderId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4" fontId="68" fillId="0" borderId="0" applyFont="0" applyFill="0" applyBorder="0" applyAlignment="0" applyProtection="0"/>
    <xf numFmtId="169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35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0" fontId="90" fillId="0" borderId="14">
      <alignment horizontal="center"/>
    </xf>
    <xf numFmtId="169" fontId="90" fillId="0" borderId="14">
      <alignment horizontal="center"/>
    </xf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83" fillId="0" borderId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3" fontId="68" fillId="0" borderId="0" applyFont="0" applyFill="0" applyBorder="0" applyAlignment="0" applyProtection="0"/>
    <xf numFmtId="169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83" fillId="96" borderId="0" applyNumberForma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0" fontId="68" fillId="95" borderId="0" applyNumberFormat="0" applyFont="0" applyBorder="0" applyAlignment="0" applyProtection="0"/>
    <xf numFmtId="169" fontId="68" fillId="95" borderId="0" applyNumberFormat="0" applyFont="0" applyBorder="0" applyAlignment="0" applyProtection="0"/>
    <xf numFmtId="171" fontId="14" fillId="0" borderId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75" fillId="0" borderId="0" applyNumberFormat="0" applyFill="0" applyBorder="0" applyAlignment="0" applyProtection="0"/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1" fillId="60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92" fillId="97" borderId="0" applyNumberFormat="0" applyBorder="0">
      <alignment horizontal="left"/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83" fillId="94" borderId="0" applyNumberForma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98" borderId="0" applyNumberFormat="0" applyFont="0" applyBorder="0" applyAlignment="0">
      <protection locked="0"/>
    </xf>
    <xf numFmtId="169" fontId="14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9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5" borderId="26" applyProtection="0">
      <alignment horizontal="center" vertical="center"/>
    </xf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6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37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9" applyNumberFormat="0" applyFill="0" applyAlignment="0" applyProtection="0"/>
    <xf numFmtId="0" fontId="52" fillId="0" borderId="23" applyNumberFormat="0" applyFill="0" applyAlignment="0" applyProtection="0"/>
    <xf numFmtId="0" fontId="34" fillId="0" borderId="9" applyNumberFormat="0" applyFill="0" applyAlignment="0" applyProtection="0"/>
    <xf numFmtId="169" fontId="34" fillId="0" borderId="37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5" fillId="65" borderId="38">
      <alignment horizontal="center" vertical="top" textRotation="90" wrapText="1"/>
    </xf>
    <xf numFmtId="169" fontId="96" fillId="0" borderId="0">
      <alignment horizontal="center"/>
    </xf>
    <xf numFmtId="169" fontId="97" fillId="66" borderId="0"/>
    <xf numFmtId="169" fontId="98" fillId="99" borderId="0"/>
    <xf numFmtId="169" fontId="97" fillId="66" borderId="0"/>
    <xf numFmtId="169" fontId="97" fillId="59" borderId="0"/>
    <xf numFmtId="169" fontId="99" fillId="66" borderId="26">
      <alignment horizontal="center" vertical="center"/>
    </xf>
    <xf numFmtId="169" fontId="99" fillId="66" borderId="26">
      <alignment horizontal="center" vertical="center"/>
    </xf>
    <xf numFmtId="169" fontId="99" fillId="66" borderId="26">
      <alignment horizontal="center" vertical="center"/>
    </xf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32" fillId="20" borderId="8" applyNumberFormat="0" applyAlignment="0" applyProtection="0"/>
    <xf numFmtId="0" fontId="22" fillId="20" borderId="1" applyNumberFormat="0" applyAlignment="0" applyProtection="0"/>
    <xf numFmtId="0" fontId="29" fillId="7" borderId="1" applyNumberFormat="0" applyAlignment="0" applyProtection="0"/>
    <xf numFmtId="0" fontId="34" fillId="0" borderId="9" applyNumberFormat="0" applyFill="0" applyAlignment="0" applyProtection="0"/>
    <xf numFmtId="0" fontId="24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14" fillId="23" borderId="7" applyNumberFormat="0" applyFont="0" applyAlignment="0" applyProtection="0"/>
    <xf numFmtId="0" fontId="21" fillId="3" borderId="0" applyNumberFormat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3" fillId="100" borderId="13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5" fillId="0" borderId="0" applyNumberFormat="0" applyFill="0" applyBorder="0" applyAlignment="0" applyProtection="0"/>
    <xf numFmtId="0" fontId="23" fillId="21" borderId="2" applyNumberFormat="0" applyAlignment="0" applyProtection="0"/>
    <xf numFmtId="0" fontId="37" fillId="0" borderId="0"/>
    <xf numFmtId="0" fontId="37" fillId="0" borderId="0"/>
    <xf numFmtId="0" fontId="37" fillId="0" borderId="0"/>
    <xf numFmtId="9" fontId="14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55" fillId="0" borderId="0"/>
    <xf numFmtId="0" fontId="37" fillId="0" borderId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0" fontId="14" fillId="0" borderId="0" applyNumberFormat="0" applyFont="0" applyFill="0" applyBorder="0" applyProtection="0">
      <alignment horizontal="left" vertical="center" indent="5"/>
    </xf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35" fillId="0" borderId="0" applyNumberFormat="0" applyFill="0" applyBorder="0" applyAlignment="0" applyProtection="0"/>
    <xf numFmtId="0" fontId="22" fillId="20" borderId="1" applyNumberFormat="0" applyAlignment="0" applyProtection="0"/>
    <xf numFmtId="0" fontId="30" fillId="0" borderId="6" applyNumberFormat="0" applyFill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9" fillId="23" borderId="7" applyNumberFormat="0" applyFont="0" applyAlignment="0" applyProtection="0"/>
    <xf numFmtId="0" fontId="100" fillId="0" borderId="39">
      <alignment horizontal="left" vertical="center" wrapText="1" indent="2"/>
    </xf>
    <xf numFmtId="0" fontId="29" fillId="7" borderId="1" applyNumberFormat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ill="0" applyBorder="0" applyAlignment="0" applyProtection="0"/>
    <xf numFmtId="0" fontId="101" fillId="53" borderId="15" applyNumberFormat="0" applyAlignment="0" applyProtection="0"/>
    <xf numFmtId="0" fontId="21" fillId="3" borderId="0" applyNumberFormat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0" fontId="31" fillId="22" borderId="0" applyNumberFormat="0" applyBorder="0" applyAlignment="0" applyProtection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14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2" fillId="0" borderId="0" applyNumberFormat="0" applyFill="0" applyBorder="0" applyProtection="0">
      <alignment horizontal="left" vertical="center"/>
    </xf>
    <xf numFmtId="4" fontId="14" fillId="103" borderId="0" applyNumberFormat="0" applyFont="0" applyBorder="0" applyAlignment="0" applyProtection="0"/>
    <xf numFmtId="4" fontId="14" fillId="103" borderId="0" applyNumberFormat="0" applyFont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104" borderId="7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5" fillId="4" borderId="0" applyNumberFormat="0" applyBorder="0" applyAlignment="0" applyProtection="0"/>
    <xf numFmtId="0" fontId="32" fillId="20" borderId="8" applyNumberFormat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26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77" borderId="26" applyNumberFormat="0" applyProtection="0">
      <alignment horizontal="righ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77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77" borderId="26" applyNumberFormat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26" applyNumberFormat="0" applyFill="0" applyProtection="0">
      <alignment horizontal="righ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5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6" borderId="0" applyNumberFormat="0" applyBorder="0" applyProtection="0">
      <alignment horizontal="left"/>
    </xf>
    <xf numFmtId="0" fontId="2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23" fillId="21" borderId="2" applyNumberFormat="0" applyAlignment="0" applyProtection="0"/>
    <xf numFmtId="4" fontId="100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70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81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66" fillId="0" borderId="0" applyFont="0" applyFill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29" borderId="0" applyNumberFormat="0" applyBorder="0" applyAlignment="0" applyProtection="0"/>
    <xf numFmtId="0" fontId="37" fillId="33" borderId="0" applyNumberFormat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0" fontId="37" fillId="36" borderId="0" applyNumberFormat="0" applyBorder="0" applyAlignment="0" applyProtection="0"/>
    <xf numFmtId="169" fontId="37" fillId="0" borderId="0"/>
    <xf numFmtId="169" fontId="37" fillId="0" borderId="0"/>
    <xf numFmtId="169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169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9" fontId="37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9" fontId="36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96" fillId="101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7" fillId="0" borderId="0"/>
    <xf numFmtId="0" fontId="37" fillId="0" borderId="0"/>
    <xf numFmtId="0" fontId="37" fillId="0" borderId="0"/>
    <xf numFmtId="9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37" fillId="0" borderId="0"/>
    <xf numFmtId="0" fontId="37" fillId="0" borderId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right"/>
    </xf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3" fillId="100" borderId="13" applyNumberFormat="0" applyProtection="0">
      <alignment horizontal="left"/>
    </xf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14" fillId="23" borderId="7" applyNumberFormat="0" applyFont="0" applyAlignment="0" applyProtection="0"/>
    <xf numFmtId="0" fontId="5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54" fillId="0" borderId="0"/>
    <xf numFmtId="0" fontId="37" fillId="0" borderId="0"/>
    <xf numFmtId="0" fontId="54" fillId="0" borderId="0"/>
    <xf numFmtId="0" fontId="58" fillId="0" borderId="0"/>
    <xf numFmtId="0" fontId="5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47" fillId="53" borderId="15" applyNumberFormat="0" applyAlignment="0" applyProtection="0"/>
    <xf numFmtId="0" fontId="103" fillId="53" borderId="15" applyNumberFormat="0" applyAlignment="0" applyProtection="0"/>
    <xf numFmtId="0" fontId="101" fillId="53" borderId="15" applyNumberFormat="0" applyAlignment="0" applyProtection="0"/>
    <xf numFmtId="0" fontId="103" fillId="53" borderId="15" applyNumberFormat="0" applyAlignment="0" applyProtection="0"/>
    <xf numFmtId="0" fontId="47" fillId="53" borderId="15" applyNumberFormat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05" fillId="54" borderId="0" applyNumberFormat="0" applyBorder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3" fillId="53" borderId="15" applyNumberFormat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7" fillId="0" borderId="0" applyNumberForma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49" fontId="14" fillId="0" borderId="13" applyFill="0" applyProtection="0">
      <alignment horizontal="righ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96" fillId="101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left"/>
    </xf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40" fillId="89" borderId="15" applyNumberFormat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right"/>
    </xf>
    <xf numFmtId="0" fontId="67" fillId="102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9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58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40" fillId="50" borderId="15" applyNumberFormat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40" fillId="89" borderId="15" applyNumberFormat="0" applyAlignment="0" applyProtection="0"/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69" fillId="100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3" fillId="53" borderId="15" applyNumberFormat="0" applyAlignment="0" applyProtection="0"/>
    <xf numFmtId="0" fontId="14" fillId="0" borderId="0"/>
    <xf numFmtId="0" fontId="14" fillId="0" borderId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57" fillId="0" borderId="0" applyNumberForma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0" fontId="14" fillId="0" borderId="0"/>
    <xf numFmtId="0" fontId="96" fillId="101" borderId="0" applyNumberFormat="0" applyBorder="0" applyProtection="0">
      <alignment horizontal="left"/>
    </xf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43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9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9" fontId="19" fillId="0" borderId="0" applyFont="0" applyFill="0" applyBorder="0" applyAlignment="0" applyProtection="0"/>
    <xf numFmtId="0" fontId="14" fillId="0" borderId="0"/>
    <xf numFmtId="0" fontId="96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3" fillId="100" borderId="13" applyNumberFormat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40" fillId="89" borderId="15" applyNumberFormat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3" fillId="100" borderId="13" applyNumberFormat="0" applyProtection="0">
      <alignment horizontal="right"/>
    </xf>
    <xf numFmtId="0" fontId="14" fillId="0" borderId="0"/>
    <xf numFmtId="0" fontId="67" fillId="102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9" fillId="100" borderId="0" applyNumberFormat="0" applyBorder="0" applyProtection="0">
      <alignment horizontal="left"/>
    </xf>
    <xf numFmtId="165" fontId="19" fillId="0" borderId="0" applyFont="0" applyFill="0" applyBorder="0" applyAlignment="0" applyProtection="0"/>
    <xf numFmtId="0" fontId="14" fillId="0" borderId="13" applyNumberFormat="0" applyFill="0" applyProtection="0">
      <alignment horizontal="right"/>
    </xf>
    <xf numFmtId="0" fontId="14" fillId="0" borderId="0"/>
    <xf numFmtId="0" fontId="14" fillId="0" borderId="0"/>
    <xf numFmtId="49" fontId="14" fillId="0" borderId="13" applyFill="0" applyProtection="0">
      <alignment horizontal="right"/>
    </xf>
    <xf numFmtId="0" fontId="14" fillId="0" borderId="0"/>
    <xf numFmtId="0" fontId="13" fillId="100" borderId="13" applyNumberFormat="0" applyProtection="0">
      <alignment horizontal="right"/>
    </xf>
    <xf numFmtId="49" fontId="14" fillId="0" borderId="13" applyFill="0" applyProtection="0">
      <alignment horizontal="righ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100" borderId="13" applyNumberFormat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0" fontId="96" fillId="101" borderId="0" applyNumberFormat="0" applyBorder="0" applyProtection="0">
      <alignment horizontal="left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6" fillId="101" borderId="0" applyNumberFormat="0" applyBorder="0" applyProtection="0">
      <alignment horizontal="left"/>
    </xf>
    <xf numFmtId="0" fontId="103" fillId="53" borderId="15" applyNumberFormat="0" applyAlignment="0" applyProtection="0"/>
    <xf numFmtId="0" fontId="14" fillId="0" borderId="0"/>
    <xf numFmtId="165" fontId="19" fillId="0" borderId="0" applyFont="0" applyFill="0" applyBorder="0" applyAlignment="0" applyProtection="0"/>
    <xf numFmtId="0" fontId="67" fillId="102" borderId="0" applyNumberFormat="0" applyBorder="0" applyProtection="0">
      <alignment horizontal="left"/>
    </xf>
    <xf numFmtId="0" fontId="69" fillId="100" borderId="0" applyNumberFormat="0" applyBorder="0" applyProtection="0">
      <alignment horizontal="left"/>
    </xf>
    <xf numFmtId="49" fontId="14" fillId="0" borderId="13" applyFill="0" applyProtection="0">
      <alignment horizontal="right"/>
    </xf>
    <xf numFmtId="0" fontId="14" fillId="0" borderId="0"/>
    <xf numFmtId="0" fontId="14" fillId="0" borderId="0"/>
    <xf numFmtId="0" fontId="14" fillId="0" borderId="0"/>
    <xf numFmtId="0" fontId="14" fillId="0" borderId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7" fillId="102" borderId="0" applyNumberFormat="0" applyBorder="0" applyProtection="0">
      <alignment horizontal="left"/>
    </xf>
    <xf numFmtId="0" fontId="96" fillId="101" borderId="0" applyNumberFormat="0" applyBorder="0" applyProtection="0">
      <alignment horizontal="left"/>
    </xf>
    <xf numFmtId="165" fontId="14" fillId="0" borderId="0" applyFont="0" applyFill="0" applyBorder="0" applyAlignment="0" applyProtection="0"/>
    <xf numFmtId="0" fontId="14" fillId="0" borderId="0"/>
    <xf numFmtId="0" fontId="69" fillId="100" borderId="0" applyNumberFormat="0" applyBorder="0" applyProtection="0">
      <alignment horizontal="left"/>
    </xf>
    <xf numFmtId="0" fontId="1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0" fillId="89" borderId="15" applyNumberFormat="0" applyAlignment="0" applyProtection="0"/>
    <xf numFmtId="0" fontId="67" fillId="102" borderId="0" applyNumberFormat="0" applyBorder="0" applyProtection="0">
      <alignment horizontal="left"/>
    </xf>
    <xf numFmtId="43" fontId="14" fillId="0" borderId="0" applyFont="0" applyFill="0" applyBorder="0" applyAlignment="0" applyProtection="0"/>
    <xf numFmtId="49" fontId="14" fillId="0" borderId="13" applyFill="0" applyProtection="0">
      <alignment horizontal="right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9" fillId="29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9" borderId="0" applyNumberFormat="0" applyBorder="0" applyAlignment="0" applyProtection="0"/>
    <xf numFmtId="0" fontId="9" fillId="33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169" fontId="9" fillId="0" borderId="0"/>
    <xf numFmtId="169" fontId="9" fillId="0" borderId="0"/>
    <xf numFmtId="169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9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3" fillId="0" borderId="0">
      <alignment vertical="top"/>
    </xf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14" fillId="0" borderId="0">
      <protection locked="0"/>
    </xf>
    <xf numFmtId="0" fontId="115" fillId="0" borderId="0" applyNumberFormat="0" applyFont="0" applyFill="0" applyBorder="0" applyProtection="0">
      <alignment horizontal="right"/>
    </xf>
    <xf numFmtId="43" fontId="14" fillId="0" borderId="0" applyFont="0" applyFill="0" applyBorder="0" applyAlignment="0" applyProtection="0"/>
    <xf numFmtId="3" fontId="116" fillId="0" borderId="0" applyFont="0" applyFill="0" applyBorder="0" applyAlignment="0" applyProtection="0"/>
    <xf numFmtId="4" fontId="117" fillId="0" borderId="0" applyFont="0" applyFill="0" applyBorder="0" applyAlignment="0" applyProtection="0"/>
    <xf numFmtId="182" fontId="116" fillId="0" borderId="0" applyFont="0" applyFill="0" applyBorder="0" applyAlignment="0" applyProtection="0"/>
    <xf numFmtId="183" fontId="118" fillId="0" borderId="0" applyFont="0" applyFill="0" applyBorder="0" applyAlignment="0" applyProtection="0"/>
    <xf numFmtId="15" fontId="118" fillId="0" borderId="0" applyFont="0" applyFill="0" applyBorder="0" applyProtection="0">
      <alignment horizontal="right"/>
    </xf>
    <xf numFmtId="2" fontId="116" fillId="0" borderId="0" applyFont="0" applyFill="0" applyBorder="0" applyAlignment="0" applyProtection="0"/>
    <xf numFmtId="184" fontId="119" fillId="0" borderId="0">
      <protection locked="0"/>
    </xf>
    <xf numFmtId="0" fontId="120" fillId="0" borderId="0" applyNumberForma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185" fontId="119" fillId="0" borderId="0">
      <protection locked="0"/>
    </xf>
    <xf numFmtId="0" fontId="8" fillId="0" borderId="0"/>
    <xf numFmtId="10" fontId="118" fillId="0" borderId="0" applyFont="0" applyFill="0" applyBorder="0" applyAlignment="0" applyProtection="0"/>
    <xf numFmtId="4" fontId="115" fillId="0" borderId="10" applyNumberFormat="0" applyFont="0" applyFill="0" applyAlignment="0" applyProtection="0"/>
    <xf numFmtId="2" fontId="114" fillId="1" borderId="47" applyNumberFormat="0" applyBorder="0" applyProtection="0">
      <alignment horizontal="left"/>
    </xf>
    <xf numFmtId="4" fontId="115" fillId="0" borderId="48" applyNumberFormat="0" applyFont="0" applyFill="0" applyAlignment="0" applyProtection="0"/>
    <xf numFmtId="186" fontId="11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5" fillId="0" borderId="0"/>
    <xf numFmtId="0" fontId="4" fillId="29" borderId="0" applyNumberFormat="0" applyBorder="0" applyAlignment="0" applyProtection="0"/>
    <xf numFmtId="0" fontId="4" fillId="0" borderId="0"/>
    <xf numFmtId="0" fontId="4" fillId="0" borderId="0"/>
    <xf numFmtId="0" fontId="14" fillId="0" borderId="0"/>
    <xf numFmtId="0" fontId="3" fillId="0" borderId="0"/>
    <xf numFmtId="0" fontId="130" fillId="0" borderId="0" applyNumberFormat="0" applyFill="0" applyBorder="0" applyAlignment="0" applyProtection="0"/>
    <xf numFmtId="0" fontId="46" fillId="0" borderId="19" applyNumberFormat="0" applyFill="0" applyAlignment="0" applyProtection="0"/>
    <xf numFmtId="0" fontId="46" fillId="0" borderId="0" applyNumberFormat="0" applyFill="0" applyBorder="0" applyAlignment="0" applyProtection="0"/>
    <xf numFmtId="0" fontId="43" fillId="52" borderId="0" applyNumberFormat="0" applyBorder="0" applyAlignment="0" applyProtection="0"/>
    <xf numFmtId="0" fontId="39" fillId="49" borderId="0" applyNumberFormat="0" applyBorder="0" applyAlignment="0" applyProtection="0"/>
    <xf numFmtId="0" fontId="47" fillId="53" borderId="15" applyNumberFormat="0" applyAlignment="0" applyProtection="0"/>
    <xf numFmtId="0" fontId="50" fillId="50" borderId="22" applyNumberFormat="0" applyAlignment="0" applyProtection="0"/>
    <xf numFmtId="0" fontId="40" fillId="50" borderId="15" applyNumberFormat="0" applyAlignment="0" applyProtection="0"/>
    <xf numFmtId="0" fontId="48" fillId="0" borderId="20" applyNumberFormat="0" applyFill="0" applyAlignment="0" applyProtection="0"/>
    <xf numFmtId="0" fontId="41" fillId="51" borderId="16" applyNumberFormat="0" applyAlignment="0" applyProtection="0"/>
    <xf numFmtId="0" fontId="5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38" fillId="43" borderId="0" applyNumberFormat="0" applyBorder="0" applyAlignment="0" applyProtection="0"/>
    <xf numFmtId="0" fontId="2" fillId="25" borderId="0" applyNumberFormat="0" applyBorder="0" applyAlignment="0" applyProtection="0"/>
    <xf numFmtId="0" fontId="2" fillId="31" borderId="0" applyNumberFormat="0" applyBorder="0" applyAlignment="0" applyProtection="0"/>
    <xf numFmtId="0" fontId="38" fillId="37" borderId="0" applyNumberFormat="0" applyBorder="0" applyAlignment="0" applyProtection="0"/>
    <xf numFmtId="0" fontId="38" fillId="44" borderId="0" applyNumberFormat="0" applyBorder="0" applyAlignment="0" applyProtection="0"/>
    <xf numFmtId="0" fontId="2" fillId="26" borderId="0" applyNumberFormat="0" applyBorder="0" applyAlignment="0" applyProtection="0"/>
    <xf numFmtId="0" fontId="2" fillId="32" borderId="0" applyNumberFormat="0" applyBorder="0" applyAlignment="0" applyProtection="0"/>
    <xf numFmtId="0" fontId="38" fillId="38" borderId="0" applyNumberFormat="0" applyBorder="0" applyAlignment="0" applyProtection="0"/>
    <xf numFmtId="0" fontId="38" fillId="45" borderId="0" applyNumberFormat="0" applyBorder="0" applyAlignment="0" applyProtection="0"/>
    <xf numFmtId="0" fontId="2" fillId="33" borderId="0" applyNumberFormat="0" applyBorder="0" applyAlignment="0" applyProtection="0"/>
    <xf numFmtId="0" fontId="38" fillId="39" borderId="0" applyNumberFormat="0" applyBorder="0" applyAlignment="0" applyProtection="0"/>
    <xf numFmtId="0" fontId="38" fillId="46" borderId="0" applyNumberFormat="0" applyBorder="0" applyAlignment="0" applyProtection="0"/>
    <xf numFmtId="0" fontId="2" fillId="28" borderId="0" applyNumberFormat="0" applyBorder="0" applyAlignment="0" applyProtection="0"/>
    <xf numFmtId="0" fontId="2" fillId="34" borderId="0" applyNumberFormat="0" applyBorder="0" applyAlignment="0" applyProtection="0"/>
    <xf numFmtId="0" fontId="38" fillId="40" borderId="0" applyNumberFormat="0" applyBorder="0" applyAlignment="0" applyProtection="0"/>
    <xf numFmtId="0" fontId="38" fillId="47" borderId="0" applyNumberFormat="0" applyBorder="0" applyAlignment="0" applyProtection="0"/>
    <xf numFmtId="0" fontId="2" fillId="35" borderId="0" applyNumberFormat="0" applyBorder="0" applyAlignment="0" applyProtection="0"/>
    <xf numFmtId="0" fontId="38" fillId="41" borderId="0" applyNumberFormat="0" applyBorder="0" applyAlignment="0" applyProtection="0"/>
    <xf numFmtId="0" fontId="38" fillId="48" borderId="0" applyNumberFormat="0" applyBorder="0" applyAlignment="0" applyProtection="0"/>
    <xf numFmtId="0" fontId="2" fillId="30" borderId="0" applyNumberFormat="0" applyBorder="0" applyAlignment="0" applyProtection="0"/>
    <xf numFmtId="0" fontId="2" fillId="36" borderId="0" applyNumberFormat="0" applyBorder="0" applyAlignment="0" applyProtection="0"/>
    <xf numFmtId="0" fontId="38" fillId="42" borderId="0" applyNumberFormat="0" applyBorder="0" applyAlignment="0" applyProtection="0"/>
    <xf numFmtId="0" fontId="2" fillId="0" borderId="0"/>
    <xf numFmtId="0" fontId="131" fillId="0" borderId="0"/>
    <xf numFmtId="0" fontId="131" fillId="0" borderId="0"/>
    <xf numFmtId="0" fontId="131" fillId="0" borderId="0"/>
    <xf numFmtId="43" fontId="2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31" fillId="0" borderId="0"/>
    <xf numFmtId="9" fontId="2" fillId="0" borderId="0" applyFont="0" applyFill="0" applyBorder="0" applyAlignment="0" applyProtection="0"/>
    <xf numFmtId="0" fontId="2" fillId="29" borderId="0" applyNumberFormat="0" applyBorder="0" applyAlignment="0" applyProtection="0"/>
    <xf numFmtId="43" fontId="14" fillId="0" borderId="0" applyFont="0" applyFill="0" applyBorder="0" applyAlignment="0" applyProtection="0"/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4" fontId="115" fillId="0" borderId="48" applyNumberFormat="0" applyFont="0" applyFill="0" applyAlignment="0" applyProtection="0"/>
    <xf numFmtId="0" fontId="2" fillId="0" borderId="0"/>
    <xf numFmtId="0" fontId="2" fillId="55" borderId="21" applyNumberFormat="0" applyFont="0" applyAlignment="0" applyProtection="0"/>
    <xf numFmtId="0" fontId="2" fillId="27" borderId="0" applyNumberFormat="0" applyBorder="0" applyAlignment="0" applyProtection="0"/>
    <xf numFmtId="0" fontId="57" fillId="0" borderId="0" applyNumberFormat="0" applyFill="0" applyBorder="0" applyAlignment="0" applyProtection="0"/>
    <xf numFmtId="0" fontId="14" fillId="0" borderId="0">
      <alignment vertical="top"/>
    </xf>
    <xf numFmtId="43" fontId="14" fillId="0" borderId="0" applyFont="0" applyFill="0" applyBorder="0" applyAlignment="0" applyProtection="0"/>
    <xf numFmtId="0" fontId="14" fillId="0" borderId="0">
      <alignment vertical="top"/>
    </xf>
  </cellStyleXfs>
  <cellXfs count="382">
    <xf numFmtId="0" fontId="0" fillId="0" borderId="0" xfId="0"/>
    <xf numFmtId="0" fontId="60" fillId="0" borderId="0" xfId="0" applyFont="1"/>
    <xf numFmtId="0" fontId="60" fillId="0" borderId="0" xfId="0" applyFont="1" applyAlignment="1">
      <alignment horizontal="left" vertical="top"/>
    </xf>
    <xf numFmtId="167" fontId="63" fillId="0" borderId="0" xfId="0" applyNumberFormat="1" applyFont="1" applyAlignment="1">
      <alignment horizontal="left" vertical="top"/>
    </xf>
    <xf numFmtId="167" fontId="60" fillId="0" borderId="0" xfId="0" applyNumberFormat="1" applyFont="1" applyAlignment="1">
      <alignment horizontal="left" vertical="top"/>
    </xf>
    <xf numFmtId="0" fontId="60" fillId="0" borderId="0" xfId="0" applyFont="1" applyFill="1" applyAlignment="1">
      <alignment horizontal="left" vertical="top"/>
    </xf>
    <xf numFmtId="167" fontId="61" fillId="24" borderId="10" xfId="0" applyNumberFormat="1" applyFont="1" applyFill="1" applyBorder="1" applyAlignment="1">
      <alignment horizontal="left" vertical="top"/>
    </xf>
    <xf numFmtId="167" fontId="61" fillId="24" borderId="12" xfId="0" applyNumberFormat="1" applyFont="1" applyFill="1" applyBorder="1" applyAlignment="1">
      <alignment horizontal="left" vertical="top"/>
    </xf>
    <xf numFmtId="167" fontId="64" fillId="29" borderId="11" xfId="1" applyNumberFormat="1" applyFont="1" applyBorder="1" applyAlignment="1">
      <alignment horizontal="left" vertical="top" wrapText="1"/>
    </xf>
    <xf numFmtId="167" fontId="60" fillId="0" borderId="0" xfId="0" applyNumberFormat="1" applyFont="1" applyFill="1" applyAlignment="1">
      <alignment horizontal="left" vertical="top"/>
    </xf>
    <xf numFmtId="0" fontId="60" fillId="0" borderId="0" xfId="0" applyFont="1" applyFill="1" applyAlignment="1">
      <alignment horizontal="left" vertical="top" wrapText="1"/>
    </xf>
    <xf numFmtId="0" fontId="60" fillId="0" borderId="0" xfId="4" applyFont="1" applyFill="1" applyBorder="1" applyAlignment="1">
      <alignment horizontal="left" vertical="top"/>
    </xf>
    <xf numFmtId="0" fontId="60" fillId="0" borderId="0" xfId="4" applyFont="1" applyFill="1" applyBorder="1" applyAlignment="1">
      <alignment horizontal="left" vertical="top" wrapText="1"/>
    </xf>
    <xf numFmtId="0" fontId="63" fillId="0" borderId="0" xfId="6" applyFont="1" applyFill="1" applyAlignment="1">
      <alignment horizontal="left" vertical="top"/>
    </xf>
    <xf numFmtId="0" fontId="61" fillId="24" borderId="10" xfId="6" applyFont="1" applyFill="1" applyBorder="1" applyAlignment="1">
      <alignment horizontal="left" vertical="top"/>
    </xf>
    <xf numFmtId="0" fontId="61" fillId="24" borderId="10" xfId="6" applyFont="1" applyFill="1" applyBorder="1" applyAlignment="1">
      <alignment horizontal="left" vertical="top" wrapText="1"/>
    </xf>
    <xf numFmtId="167" fontId="64" fillId="29" borderId="10" xfId="1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0" xfId="1" applyNumberFormat="1" applyFont="1" applyBorder="1" applyAlignment="1">
      <alignment horizontal="left" vertical="top" wrapText="1"/>
    </xf>
    <xf numFmtId="0" fontId="65" fillId="29" borderId="10" xfId="1" applyFont="1" applyBorder="1" applyAlignment="1">
      <alignment horizontal="left" vertical="top" wrapText="1"/>
    </xf>
    <xf numFmtId="167" fontId="60" fillId="0" borderId="24" xfId="0" applyNumberFormat="1" applyFont="1" applyFill="1" applyBorder="1" applyAlignment="1">
      <alignment horizontal="left" vertical="top"/>
    </xf>
    <xf numFmtId="167" fontId="60" fillId="0" borderId="24" xfId="0" applyNumberFormat="1" applyFont="1" applyFill="1" applyBorder="1" applyAlignment="1">
      <alignment horizontal="center" vertical="center"/>
    </xf>
    <xf numFmtId="0" fontId="60" fillId="57" borderId="24" xfId="3" applyFont="1" applyFill="1" applyBorder="1"/>
    <xf numFmtId="167" fontId="60" fillId="0" borderId="24" xfId="4" applyNumberFormat="1" applyFont="1" applyFill="1" applyBorder="1" applyAlignment="1">
      <alignment wrapText="1"/>
    </xf>
    <xf numFmtId="2" fontId="60" fillId="57" borderId="24" xfId="3" applyNumberFormat="1" applyFont="1" applyFill="1" applyBorder="1"/>
    <xf numFmtId="0" fontId="60" fillId="0" borderId="24" xfId="4" applyFont="1" applyBorder="1"/>
    <xf numFmtId="167" fontId="60" fillId="0" borderId="24" xfId="4" applyNumberFormat="1" applyFont="1" applyBorder="1"/>
    <xf numFmtId="0" fontId="60" fillId="0" borderId="24" xfId="0" applyFont="1" applyBorder="1" applyAlignment="1">
      <alignment horizontal="left" vertical="top"/>
    </xf>
    <xf numFmtId="0" fontId="63" fillId="0" borderId="0" xfId="0" applyFont="1" applyFill="1" applyAlignment="1">
      <alignment horizontal="left"/>
    </xf>
    <xf numFmtId="0" fontId="60" fillId="0" borderId="0" xfId="0" applyFont="1" applyFill="1" applyBorder="1"/>
    <xf numFmtId="0" fontId="61" fillId="56" borderId="11" xfId="6" applyFont="1" applyFill="1" applyBorder="1" applyAlignment="1">
      <alignment horizontal="left" vertical="center"/>
    </xf>
    <xf numFmtId="0" fontId="64" fillId="57" borderId="11" xfId="1" applyFont="1" applyFill="1" applyBorder="1" applyAlignment="1">
      <alignment horizontal="left" wrapText="1"/>
    </xf>
    <xf numFmtId="0" fontId="61" fillId="58" borderId="0" xfId="6" applyFont="1" applyFill="1" applyBorder="1" applyAlignment="1">
      <alignment horizontal="left" vertical="center"/>
    </xf>
    <xf numFmtId="2" fontId="60" fillId="58" borderId="0" xfId="0" applyNumberFormat="1" applyFont="1" applyFill="1"/>
    <xf numFmtId="2" fontId="60" fillId="58" borderId="0" xfId="0" applyNumberFormat="1" applyFont="1" applyFill="1" applyBorder="1"/>
    <xf numFmtId="0" fontId="60" fillId="0" borderId="0" xfId="0" applyFont="1"/>
    <xf numFmtId="167" fontId="107" fillId="0" borderId="0" xfId="4" applyNumberFormat="1" applyFont="1"/>
    <xf numFmtId="167" fontId="106" fillId="0" borderId="24" xfId="4" applyNumberFormat="1" applyFont="1" applyFill="1" applyBorder="1" applyAlignment="1">
      <alignment horizontal="left" vertical="top"/>
    </xf>
    <xf numFmtId="167" fontId="60" fillId="0" borderId="24" xfId="0" applyNumberFormat="1" applyFont="1" applyFill="1" applyBorder="1" applyAlignment="1">
      <alignment horizontal="left" vertical="top" wrapText="1"/>
    </xf>
    <xf numFmtId="167" fontId="106" fillId="0" borderId="24" xfId="4" applyNumberFormat="1" applyFont="1" applyBorder="1" applyAlignment="1">
      <alignment horizontal="left" vertical="top"/>
    </xf>
    <xf numFmtId="179" fontId="65" fillId="29" borderId="10" xfId="1" applyNumberFormat="1" applyFont="1" applyBorder="1" applyAlignment="1">
      <alignment horizontal="left" vertical="top" wrapText="1"/>
    </xf>
    <xf numFmtId="179" fontId="60" fillId="57" borderId="24" xfId="3" applyNumberFormat="1" applyFont="1" applyFill="1" applyBorder="1"/>
    <xf numFmtId="0" fontId="108" fillId="0" borderId="0" xfId="0" applyFont="1" applyAlignment="1">
      <alignment horizontal="left" vertical="top"/>
    </xf>
    <xf numFmtId="0" fontId="109" fillId="0" borderId="0" xfId="0" applyFont="1" applyFill="1" applyAlignment="1">
      <alignment horizontal="left"/>
    </xf>
    <xf numFmtId="2" fontId="0" fillId="0" borderId="0" xfId="0" applyNumberFormat="1" applyBorder="1"/>
    <xf numFmtId="0" fontId="13" fillId="24" borderId="13" xfId="0" applyFont="1" applyFill="1" applyBorder="1" applyAlignment="1">
      <alignment vertical="top" wrapText="1"/>
    </xf>
    <xf numFmtId="0" fontId="13" fillId="24" borderId="40" xfId="0" applyFont="1" applyFill="1" applyBorder="1" applyAlignment="1">
      <alignment horizontal="center" vertical="top" wrapText="1"/>
    </xf>
    <xf numFmtId="167" fontId="60" fillId="0" borderId="24" xfId="4" applyNumberFormat="1" applyFont="1" applyFill="1" applyBorder="1" applyAlignment="1">
      <alignment vertical="top"/>
    </xf>
    <xf numFmtId="167" fontId="60" fillId="0" borderId="0" xfId="0" applyNumberFormat="1" applyFont="1" applyFill="1" applyBorder="1" applyAlignment="1">
      <alignment horizontal="left" vertical="top"/>
    </xf>
    <xf numFmtId="167" fontId="106" fillId="0" borderId="0" xfId="4" applyNumberFormat="1" applyFont="1" applyFill="1" applyBorder="1" applyAlignment="1">
      <alignment horizontal="left" vertical="top"/>
    </xf>
    <xf numFmtId="167" fontId="60" fillId="0" borderId="0" xfId="0" applyNumberFormat="1" applyFont="1" applyFill="1" applyBorder="1" applyAlignment="1">
      <alignment horizontal="left" vertical="top" wrapText="1"/>
    </xf>
    <xf numFmtId="167" fontId="60" fillId="0" borderId="0" xfId="0" applyNumberFormat="1" applyFont="1" applyFill="1" applyBorder="1" applyAlignment="1">
      <alignment horizontal="center" vertical="center"/>
    </xf>
    <xf numFmtId="167" fontId="60" fillId="0" borderId="24" xfId="4" applyNumberFormat="1" applyFont="1" applyFill="1" applyBorder="1" applyAlignment="1">
      <alignment vertical="top" wrapText="1"/>
    </xf>
    <xf numFmtId="180" fontId="0" fillId="0" borderId="0" xfId="0" applyNumberFormat="1"/>
    <xf numFmtId="1" fontId="60" fillId="57" borderId="24" xfId="3" applyNumberFormat="1" applyFont="1" applyFill="1" applyBorder="1"/>
    <xf numFmtId="2" fontId="60" fillId="0" borderId="0" xfId="0" applyNumberFormat="1" applyFont="1" applyAlignment="1">
      <alignment horizontal="left" vertical="top"/>
    </xf>
    <xf numFmtId="9" fontId="60" fillId="0" borderId="0" xfId="0" applyNumberFormat="1" applyFont="1" applyAlignment="1">
      <alignment horizontal="left" vertical="top"/>
    </xf>
    <xf numFmtId="2" fontId="60" fillId="0" borderId="24" xfId="4" applyNumberFormat="1" applyFont="1" applyBorder="1"/>
    <xf numFmtId="0" fontId="0" fillId="0" borderId="0" xfId="0"/>
    <xf numFmtId="167" fontId="106" fillId="0" borderId="0" xfId="4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6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9" xfId="0" applyBorder="1"/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52" fillId="0" borderId="50" xfId="0" applyFont="1" applyBorder="1" applyAlignment="1">
      <alignment horizontal="center"/>
    </xf>
    <xf numFmtId="0" fontId="52" fillId="0" borderId="52" xfId="0" applyFont="1" applyBorder="1" applyAlignment="1">
      <alignment horizontal="center"/>
    </xf>
    <xf numFmtId="9" fontId="52" fillId="0" borderId="52" xfId="36094" applyFont="1" applyBorder="1" applyAlignment="1">
      <alignment horizont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center"/>
    </xf>
    <xf numFmtId="2" fontId="0" fillId="0" borderId="55" xfId="0" applyNumberFormat="1" applyFill="1" applyBorder="1" applyAlignment="1">
      <alignment horizontal="center"/>
    </xf>
    <xf numFmtId="179" fontId="0" fillId="0" borderId="55" xfId="0" applyNumberFormat="1" applyFill="1" applyBorder="1" applyAlignment="1">
      <alignment horizontal="center"/>
    </xf>
    <xf numFmtId="1" fontId="0" fillId="0" borderId="55" xfId="0" applyNumberFormat="1" applyFill="1" applyBorder="1" applyAlignment="1">
      <alignment horizontal="center"/>
    </xf>
    <xf numFmtId="9" fontId="0" fillId="0" borderId="57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79" fontId="0" fillId="0" borderId="13" xfId="0" applyNumberFormat="1" applyFill="1" applyBorder="1" applyAlignment="1">
      <alignment horizontal="center"/>
    </xf>
    <xf numFmtId="1" fontId="0" fillId="0" borderId="13" xfId="0" applyNumberFormat="1" applyFill="1" applyBorder="1" applyAlignment="1">
      <alignment horizontal="center"/>
    </xf>
    <xf numFmtId="9" fontId="0" fillId="0" borderId="59" xfId="36094" applyFont="1" applyFill="1" applyBorder="1" applyAlignment="1">
      <alignment horizontal="center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vertical="center"/>
    </xf>
    <xf numFmtId="0" fontId="0" fillId="0" borderId="50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vertical="center"/>
    </xf>
    <xf numFmtId="2" fontId="0" fillId="0" borderId="63" xfId="0" applyNumberFormat="1" applyFill="1" applyBorder="1" applyAlignment="1">
      <alignment horizontal="center"/>
    </xf>
    <xf numFmtId="179" fontId="0" fillId="0" borderId="63" xfId="0" applyNumberFormat="1" applyFill="1" applyBorder="1" applyAlignment="1">
      <alignment horizontal="center"/>
    </xf>
    <xf numFmtId="1" fontId="0" fillId="0" borderId="63" xfId="0" applyNumberFormat="1" applyFill="1" applyBorder="1" applyAlignment="1">
      <alignment horizontal="center"/>
    </xf>
    <xf numFmtId="9" fontId="0" fillId="0" borderId="65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5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6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1" xfId="0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2" fontId="0" fillId="0" borderId="70" xfId="0" applyNumberFormat="1" applyFill="1" applyBorder="1" applyAlignment="1">
      <alignment horizontal="center"/>
    </xf>
    <xf numFmtId="179" fontId="0" fillId="0" borderId="70" xfId="0" applyNumberFormat="1" applyFill="1" applyBorder="1" applyAlignment="1">
      <alignment horizontal="center"/>
    </xf>
    <xf numFmtId="1" fontId="0" fillId="0" borderId="70" xfId="0" applyNumberFormat="1" applyFill="1" applyBorder="1" applyAlignment="1">
      <alignment horizontal="center"/>
    </xf>
    <xf numFmtId="9" fontId="0" fillId="0" borderId="72" xfId="36094" applyFont="1" applyFill="1" applyBorder="1" applyAlignment="1">
      <alignment horizontal="center"/>
    </xf>
    <xf numFmtId="0" fontId="0" fillId="0" borderId="54" xfId="0" applyBorder="1" applyAlignment="1">
      <alignment horizontal="center" vertical="center" wrapText="1"/>
    </xf>
    <xf numFmtId="2" fontId="0" fillId="0" borderId="55" xfId="0" applyNumberFormat="1" applyBorder="1" applyAlignment="1">
      <alignment horizontal="center"/>
    </xf>
    <xf numFmtId="0" fontId="0" fillId="0" borderId="62" xfId="0" applyBorder="1" applyAlignment="1">
      <alignment horizontal="center" vertical="center" wrapText="1"/>
    </xf>
    <xf numFmtId="2" fontId="0" fillId="0" borderId="74" xfId="0" applyNumberFormat="1" applyFill="1" applyBorder="1" applyAlignment="1">
      <alignment horizontal="center"/>
    </xf>
    <xf numFmtId="2" fontId="0" fillId="0" borderId="76" xfId="0" applyNumberFormat="1" applyFill="1" applyBorder="1" applyAlignment="1">
      <alignment horizontal="center"/>
    </xf>
    <xf numFmtId="9" fontId="0" fillId="0" borderId="52" xfId="36094" applyFont="1" applyFill="1" applyBorder="1" applyAlignment="1">
      <alignment horizontal="center"/>
    </xf>
    <xf numFmtId="0" fontId="0" fillId="0" borderId="74" xfId="0" applyBorder="1"/>
    <xf numFmtId="2" fontId="0" fillId="0" borderId="57" xfId="0" applyNumberFormat="1" applyFill="1" applyBorder="1" applyAlignment="1">
      <alignment horizontal="center"/>
    </xf>
    <xf numFmtId="2" fontId="0" fillId="0" borderId="59" xfId="0" applyNumberFormat="1" applyFill="1" applyBorder="1" applyAlignment="1">
      <alignment horizontal="center"/>
    </xf>
    <xf numFmtId="2" fontId="0" fillId="0" borderId="65" xfId="0" applyNumberFormat="1" applyFill="1" applyBorder="1" applyAlignment="1">
      <alignment horizontal="center"/>
    </xf>
    <xf numFmtId="2" fontId="0" fillId="0" borderId="72" xfId="0" applyNumberForma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61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167" fontId="60" fillId="107" borderId="24" xfId="4" applyNumberFormat="1" applyFont="1" applyFill="1" applyBorder="1"/>
    <xf numFmtId="0" fontId="60" fillId="107" borderId="24" xfId="4" applyFont="1" applyFill="1" applyBorder="1"/>
    <xf numFmtId="2" fontId="60" fillId="107" borderId="24" xfId="3" applyNumberFormat="1" applyFont="1" applyFill="1" applyBorder="1"/>
    <xf numFmtId="1" fontId="60" fillId="107" borderId="24" xfId="3" applyNumberFormat="1" applyFont="1" applyFill="1" applyBorder="1"/>
    <xf numFmtId="167" fontId="60" fillId="108" borderId="24" xfId="4" applyNumberFormat="1" applyFont="1" applyFill="1" applyBorder="1"/>
    <xf numFmtId="0" fontId="60" fillId="108" borderId="24" xfId="4" applyFont="1" applyFill="1" applyBorder="1"/>
    <xf numFmtId="2" fontId="60" fillId="108" borderId="24" xfId="3" applyNumberFormat="1" applyFont="1" applyFill="1" applyBorder="1"/>
    <xf numFmtId="1" fontId="60" fillId="108" borderId="24" xfId="3" applyNumberFormat="1" applyFont="1" applyFill="1" applyBorder="1"/>
    <xf numFmtId="167" fontId="60" fillId="109" borderId="24" xfId="4" applyNumberFormat="1" applyFont="1" applyFill="1" applyBorder="1"/>
    <xf numFmtId="0" fontId="60" fillId="109" borderId="24" xfId="4" applyFont="1" applyFill="1" applyBorder="1"/>
    <xf numFmtId="2" fontId="60" fillId="109" borderId="24" xfId="3" applyNumberFormat="1" applyFont="1" applyFill="1" applyBorder="1"/>
    <xf numFmtId="1" fontId="60" fillId="109" borderId="24" xfId="3" applyNumberFormat="1" applyFont="1" applyFill="1" applyBorder="1"/>
    <xf numFmtId="181" fontId="60" fillId="107" borderId="24" xfId="3" applyNumberFormat="1" applyFont="1" applyFill="1" applyBorder="1"/>
    <xf numFmtId="0" fontId="61" fillId="24" borderId="10" xfId="6" applyFont="1" applyFill="1" applyBorder="1" applyAlignment="1">
      <alignment horizontal="center" vertical="center" wrapText="1"/>
    </xf>
    <xf numFmtId="0" fontId="123" fillId="24" borderId="10" xfId="6" applyFont="1" applyFill="1" applyBorder="1" applyAlignment="1">
      <alignment horizontal="center" vertical="center" wrapText="1"/>
    </xf>
    <xf numFmtId="2" fontId="123" fillId="108" borderId="24" xfId="3" applyNumberFormat="1" applyFont="1" applyFill="1" applyBorder="1"/>
    <xf numFmtId="2" fontId="123" fillId="57" borderId="24" xfId="3" applyNumberFormat="1" applyFont="1" applyFill="1" applyBorder="1"/>
    <xf numFmtId="1" fontId="123" fillId="57" borderId="24" xfId="3" applyNumberFormat="1" applyFont="1" applyFill="1" applyBorder="1"/>
    <xf numFmtId="2" fontId="123" fillId="107" borderId="24" xfId="3" applyNumberFormat="1" applyFont="1" applyFill="1" applyBorder="1"/>
    <xf numFmtId="167" fontId="60" fillId="0" borderId="78" xfId="0" applyNumberFormat="1" applyFont="1" applyFill="1" applyBorder="1" applyAlignment="1">
      <alignment horizontal="left" vertical="top"/>
    </xf>
    <xf numFmtId="167" fontId="60" fillId="0" borderId="78" xfId="4" applyNumberFormat="1" applyFont="1" applyBorder="1"/>
    <xf numFmtId="167" fontId="60" fillId="0" borderId="79" xfId="0" applyNumberFormat="1" applyFont="1" applyFill="1" applyBorder="1" applyAlignment="1">
      <alignment horizontal="left" vertical="top"/>
    </xf>
    <xf numFmtId="167" fontId="60" fillId="0" borderId="79" xfId="4" applyNumberFormat="1" applyFont="1" applyBorder="1"/>
    <xf numFmtId="167" fontId="60" fillId="0" borderId="79" xfId="4" applyNumberFormat="1" applyFont="1" applyFill="1" applyBorder="1" applyAlignment="1">
      <alignment vertical="top"/>
    </xf>
    <xf numFmtId="167" fontId="60" fillId="56" borderId="78" xfId="0" applyNumberFormat="1" applyFont="1" applyFill="1" applyBorder="1" applyAlignment="1">
      <alignment horizontal="left" vertical="top"/>
    </xf>
    <xf numFmtId="167" fontId="60" fillId="56" borderId="78" xfId="4" applyNumberFormat="1" applyFont="1" applyFill="1" applyBorder="1"/>
    <xf numFmtId="167" fontId="60" fillId="56" borderId="78" xfId="4" applyNumberFormat="1" applyFont="1" applyFill="1" applyBorder="1" applyAlignment="1">
      <alignment vertical="top"/>
    </xf>
    <xf numFmtId="167" fontId="60" fillId="56" borderId="24" xfId="0" applyNumberFormat="1" applyFont="1" applyFill="1" applyBorder="1" applyAlignment="1">
      <alignment horizontal="left" vertical="top"/>
    </xf>
    <xf numFmtId="167" fontId="60" fillId="56" borderId="24" xfId="4" applyNumberFormat="1" applyFont="1" applyFill="1" applyBorder="1"/>
    <xf numFmtId="167" fontId="60" fillId="56" borderId="24" xfId="4" applyNumberFormat="1" applyFont="1" applyFill="1" applyBorder="1" applyAlignment="1">
      <alignment vertical="top"/>
    </xf>
    <xf numFmtId="167" fontId="60" fillId="56" borderId="79" xfId="0" applyNumberFormat="1" applyFont="1" applyFill="1" applyBorder="1" applyAlignment="1">
      <alignment horizontal="left" vertical="top"/>
    </xf>
    <xf numFmtId="167" fontId="60" fillId="56" borderId="79" xfId="4" applyNumberFormat="1" applyFont="1" applyFill="1" applyBorder="1"/>
    <xf numFmtId="167" fontId="60" fillId="56" borderId="79" xfId="4" applyNumberFormat="1" applyFont="1" applyFill="1" applyBorder="1" applyAlignment="1">
      <alignment vertical="top"/>
    </xf>
    <xf numFmtId="0" fontId="60" fillId="0" borderId="78" xfId="0" applyFont="1" applyBorder="1" applyAlignment="1">
      <alignment horizontal="left" vertical="top"/>
    </xf>
    <xf numFmtId="167" fontId="60" fillId="0" borderId="78" xfId="4" applyNumberFormat="1" applyFont="1" applyFill="1" applyBorder="1" applyAlignment="1">
      <alignment wrapText="1"/>
    </xf>
    <xf numFmtId="0" fontId="60" fillId="56" borderId="79" xfId="0" applyFont="1" applyFill="1" applyBorder="1" applyAlignment="1">
      <alignment horizontal="left" vertical="top"/>
    </xf>
    <xf numFmtId="167" fontId="60" fillId="56" borderId="79" xfId="4" applyNumberFormat="1" applyFont="1" applyFill="1" applyBorder="1" applyAlignment="1">
      <alignment wrapText="1"/>
    </xf>
    <xf numFmtId="0" fontId="60" fillId="56" borderId="81" xfId="0" applyFont="1" applyFill="1" applyBorder="1" applyAlignment="1">
      <alignment horizontal="left" vertical="top"/>
    </xf>
    <xf numFmtId="167" fontId="60" fillId="56" borderId="81" xfId="0" applyNumberFormat="1" applyFont="1" applyFill="1" applyBorder="1" applyAlignment="1">
      <alignment horizontal="left" vertical="top"/>
    </xf>
    <xf numFmtId="167" fontId="60" fillId="56" borderId="81" xfId="4" applyNumberFormat="1" applyFont="1" applyFill="1" applyBorder="1"/>
    <xf numFmtId="167" fontId="60" fillId="56" borderId="81" xfId="4" applyNumberFormat="1" applyFont="1" applyFill="1" applyBorder="1" applyAlignment="1">
      <alignment vertical="top" wrapText="1"/>
    </xf>
    <xf numFmtId="0" fontId="60" fillId="0" borderId="80" xfId="0" applyFont="1" applyBorder="1" applyAlignment="1">
      <alignment horizontal="left" vertical="top"/>
    </xf>
    <xf numFmtId="167" fontId="60" fillId="0" borderId="80" xfId="0" applyNumberFormat="1" applyFont="1" applyFill="1" applyBorder="1" applyAlignment="1">
      <alignment horizontal="left" vertical="top"/>
    </xf>
    <xf numFmtId="167" fontId="60" fillId="0" borderId="80" xfId="4" applyNumberFormat="1" applyFont="1" applyBorder="1"/>
    <xf numFmtId="167" fontId="60" fillId="0" borderId="80" xfId="4" applyNumberFormat="1" applyFont="1" applyFill="1" applyBorder="1" applyAlignment="1">
      <alignment vertical="top" wrapText="1"/>
    </xf>
    <xf numFmtId="0" fontId="7" fillId="0" borderId="0" xfId="36125"/>
    <xf numFmtId="0" fontId="7" fillId="0" borderId="0" xfId="36125" applyAlignment="1">
      <alignment horizontal="center" vertical="center"/>
    </xf>
    <xf numFmtId="179" fontId="7" fillId="0" borderId="0" xfId="36125" applyNumberFormat="1"/>
    <xf numFmtId="0" fontId="126" fillId="0" borderId="0" xfId="36125" applyFont="1" applyAlignment="1">
      <alignment horizontal="right"/>
    </xf>
    <xf numFmtId="0" fontId="7" fillId="0" borderId="0" xfId="36125" applyAlignment="1">
      <alignment horizontal="right"/>
    </xf>
    <xf numFmtId="179" fontId="7" fillId="0" borderId="0" xfId="36125" applyNumberFormat="1" applyAlignment="1">
      <alignment horizontal="right"/>
    </xf>
    <xf numFmtId="0" fontId="7" fillId="0" borderId="0" xfId="36125" applyAlignment="1">
      <alignment horizontal="center"/>
    </xf>
    <xf numFmtId="0" fontId="7" fillId="0" borderId="49" xfId="36125" applyBorder="1"/>
    <xf numFmtId="0" fontId="7" fillId="0" borderId="50" xfId="36125" applyBorder="1" applyAlignment="1">
      <alignment horizontal="center"/>
    </xf>
    <xf numFmtId="0" fontId="7" fillId="0" borderId="51" xfId="36125" applyBorder="1" applyAlignment="1">
      <alignment horizontal="center" vertical="center"/>
    </xf>
    <xf numFmtId="0" fontId="7" fillId="0" borderId="46" xfId="36125" applyBorder="1" applyAlignment="1">
      <alignment horizontal="center" vertical="center"/>
    </xf>
    <xf numFmtId="0" fontId="7" fillId="0" borderId="51" xfId="36125" applyBorder="1" applyAlignment="1">
      <alignment horizontal="center"/>
    </xf>
    <xf numFmtId="0" fontId="52" fillId="0" borderId="50" xfId="36125" applyFont="1" applyBorder="1" applyAlignment="1">
      <alignment horizontal="center"/>
    </xf>
    <xf numFmtId="0" fontId="52" fillId="0" borderId="52" xfId="36125" applyFont="1" applyBorder="1" applyAlignment="1">
      <alignment horizontal="center"/>
    </xf>
    <xf numFmtId="9" fontId="52" fillId="0" borderId="52" xfId="36126" applyFont="1" applyBorder="1" applyAlignment="1">
      <alignment horizontal="center"/>
    </xf>
    <xf numFmtId="0" fontId="7" fillId="0" borderId="55" xfId="36125" applyBorder="1" applyAlignment="1">
      <alignment horizontal="center" vertical="center" wrapText="1"/>
    </xf>
    <xf numFmtId="0" fontId="7" fillId="0" borderId="56" xfId="36125" applyBorder="1" applyAlignment="1">
      <alignment horizontal="center" vertical="center"/>
    </xf>
    <xf numFmtId="0" fontId="7" fillId="0" borderId="56" xfId="36125" applyBorder="1" applyAlignment="1">
      <alignment horizontal="center"/>
    </xf>
    <xf numFmtId="2" fontId="7" fillId="0" borderId="55" xfId="36125" applyNumberFormat="1" applyFill="1" applyBorder="1" applyAlignment="1">
      <alignment horizontal="center"/>
    </xf>
    <xf numFmtId="179" fontId="7" fillId="0" borderId="55" xfId="36125" applyNumberFormat="1" applyFill="1" applyBorder="1" applyAlignment="1">
      <alignment horizontal="center"/>
    </xf>
    <xf numFmtId="1" fontId="7" fillId="0" borderId="55" xfId="36125" applyNumberFormat="1" applyFill="1" applyBorder="1" applyAlignment="1">
      <alignment horizontal="center"/>
    </xf>
    <xf numFmtId="0" fontId="7" fillId="0" borderId="57" xfId="36125" applyFill="1" applyBorder="1" applyAlignment="1">
      <alignment horizontal="center"/>
    </xf>
    <xf numFmtId="9" fontId="0" fillId="0" borderId="57" xfId="36126" applyFont="1" applyFill="1" applyBorder="1" applyAlignment="1">
      <alignment horizontal="center"/>
    </xf>
    <xf numFmtId="0" fontId="7" fillId="0" borderId="13" xfId="36125" applyBorder="1" applyAlignment="1">
      <alignment horizontal="center" vertical="center" wrapText="1"/>
    </xf>
    <xf numFmtId="0" fontId="7" fillId="0" borderId="47" xfId="36125" applyBorder="1" applyAlignment="1">
      <alignment horizontal="center" vertical="center"/>
    </xf>
    <xf numFmtId="0" fontId="7" fillId="0" borderId="47" xfId="36125" applyBorder="1" applyAlignment="1">
      <alignment horizontal="center"/>
    </xf>
    <xf numFmtId="2" fontId="7" fillId="0" borderId="13" xfId="36125" applyNumberFormat="1" applyFill="1" applyBorder="1" applyAlignment="1">
      <alignment horizontal="center"/>
    </xf>
    <xf numFmtId="179" fontId="7" fillId="0" borderId="13" xfId="36125" applyNumberFormat="1" applyFill="1" applyBorder="1" applyAlignment="1">
      <alignment horizontal="center"/>
    </xf>
    <xf numFmtId="1" fontId="7" fillId="0" borderId="13" xfId="36125" applyNumberFormat="1" applyFill="1" applyBorder="1" applyAlignment="1">
      <alignment horizontal="center"/>
    </xf>
    <xf numFmtId="0" fontId="7" fillId="0" borderId="59" xfId="36125" applyFill="1" applyBorder="1" applyAlignment="1">
      <alignment horizontal="center"/>
    </xf>
    <xf numFmtId="9" fontId="0" fillId="0" borderId="59" xfId="36126" applyFont="1" applyFill="1" applyBorder="1" applyAlignment="1">
      <alignment horizontal="center"/>
    </xf>
    <xf numFmtId="0" fontId="7" fillId="0" borderId="60" xfId="36125" applyBorder="1" applyAlignment="1">
      <alignment horizontal="center" vertical="center" wrapText="1"/>
    </xf>
    <xf numFmtId="0" fontId="7" fillId="0" borderId="61" xfId="36125" applyBorder="1" applyAlignment="1">
      <alignment vertical="center"/>
    </xf>
    <xf numFmtId="0" fontId="7" fillId="0" borderId="50" xfId="36125" applyBorder="1" applyAlignment="1">
      <alignment horizontal="center" vertical="center" wrapText="1"/>
    </xf>
    <xf numFmtId="0" fontId="7" fillId="0" borderId="63" xfId="36125" applyBorder="1" applyAlignment="1">
      <alignment horizontal="center" vertical="center" wrapText="1"/>
    </xf>
    <xf numFmtId="0" fontId="7" fillId="0" borderId="64" xfId="36125" applyBorder="1" applyAlignment="1">
      <alignment horizontal="center" vertical="center"/>
    </xf>
    <xf numFmtId="0" fontId="7" fillId="0" borderId="64" xfId="36125" applyBorder="1" applyAlignment="1">
      <alignment vertical="center"/>
    </xf>
    <xf numFmtId="2" fontId="7" fillId="0" borderId="63" xfId="36125" applyNumberFormat="1" applyFill="1" applyBorder="1" applyAlignment="1">
      <alignment horizontal="center"/>
    </xf>
    <xf numFmtId="179" fontId="7" fillId="0" borderId="63" xfId="36125" applyNumberFormat="1" applyFill="1" applyBorder="1" applyAlignment="1">
      <alignment horizontal="center"/>
    </xf>
    <xf numFmtId="0" fontId="7" fillId="0" borderId="63" xfId="36125" applyFill="1" applyBorder="1" applyAlignment="1">
      <alignment horizontal="center"/>
    </xf>
    <xf numFmtId="1" fontId="7" fillId="0" borderId="63" xfId="36125" applyNumberFormat="1" applyFill="1" applyBorder="1" applyAlignment="1">
      <alignment horizontal="center"/>
    </xf>
    <xf numFmtId="0" fontId="7" fillId="0" borderId="65" xfId="36125" applyFill="1" applyBorder="1" applyAlignment="1">
      <alignment horizontal="center"/>
    </xf>
    <xf numFmtId="9" fontId="0" fillId="0" borderId="65" xfId="36126" applyFont="1" applyFill="1" applyBorder="1" applyAlignment="1">
      <alignment horizontal="center"/>
    </xf>
    <xf numFmtId="0" fontId="7" fillId="0" borderId="13" xfId="36125" applyBorder="1" applyAlignment="1">
      <alignment horizontal="center" vertical="center"/>
    </xf>
    <xf numFmtId="0" fontId="7" fillId="0" borderId="63" xfId="36125" applyBorder="1" applyAlignment="1">
      <alignment horizontal="center" vertical="center"/>
    </xf>
    <xf numFmtId="0" fontId="7" fillId="0" borderId="64" xfId="36125" applyBorder="1" applyAlignment="1">
      <alignment horizontal="center"/>
    </xf>
    <xf numFmtId="0" fontId="7" fillId="0" borderId="56" xfId="36125" applyBorder="1" applyAlignment="1">
      <alignment horizontal="center" vertical="center" wrapText="1"/>
    </xf>
    <xf numFmtId="0" fontId="7" fillId="0" borderId="55" xfId="36125" applyFill="1" applyBorder="1" applyAlignment="1">
      <alignment horizontal="center"/>
    </xf>
    <xf numFmtId="0" fontId="7" fillId="0" borderId="47" xfId="36125" applyBorder="1" applyAlignment="1">
      <alignment horizontal="center" vertical="center" wrapText="1"/>
    </xf>
    <xf numFmtId="0" fontId="7" fillId="0" borderId="13" xfId="36125" applyFill="1" applyBorder="1" applyAlignment="1">
      <alignment horizontal="center"/>
    </xf>
    <xf numFmtId="0" fontId="7" fillId="0" borderId="64" xfId="36125" applyBorder="1" applyAlignment="1">
      <alignment horizontal="center" vertical="center" wrapText="1"/>
    </xf>
    <xf numFmtId="0" fontId="7" fillId="0" borderId="49" xfId="36125" applyBorder="1" applyAlignment="1">
      <alignment horizontal="center" vertical="center" wrapText="1"/>
    </xf>
    <xf numFmtId="0" fontId="7" fillId="0" borderId="51" xfId="36125" applyBorder="1" applyAlignment="1">
      <alignment horizontal="center" vertical="center" wrapText="1"/>
    </xf>
    <xf numFmtId="2" fontId="7" fillId="0" borderId="50" xfId="36125" applyNumberFormat="1" applyFill="1" applyBorder="1" applyAlignment="1">
      <alignment horizontal="center" vertical="center"/>
    </xf>
    <xf numFmtId="179" fontId="7" fillId="0" borderId="50" xfId="36125" applyNumberFormat="1" applyFill="1" applyBorder="1" applyAlignment="1">
      <alignment horizontal="center" vertical="center"/>
    </xf>
    <xf numFmtId="0" fontId="7" fillId="0" borderId="50" xfId="36125" applyFill="1" applyBorder="1" applyAlignment="1">
      <alignment horizontal="center" vertical="center"/>
    </xf>
    <xf numFmtId="1" fontId="7" fillId="0" borderId="50" xfId="36125" applyNumberFormat="1" applyFill="1" applyBorder="1" applyAlignment="1">
      <alignment horizontal="center" vertical="center"/>
    </xf>
    <xf numFmtId="0" fontId="7" fillId="0" borderId="52" xfId="36125" applyFill="1" applyBorder="1" applyAlignment="1">
      <alignment horizontal="center" vertical="center"/>
    </xf>
    <xf numFmtId="9" fontId="0" fillId="0" borderId="52" xfId="36126" applyFont="1" applyFill="1" applyBorder="1" applyAlignment="1">
      <alignment horizontal="center" vertical="center"/>
    </xf>
    <xf numFmtId="0" fontId="7" fillId="0" borderId="46" xfId="36125" applyBorder="1" applyAlignment="1">
      <alignment horizontal="left" vertical="center" wrapText="1"/>
    </xf>
    <xf numFmtId="0" fontId="7" fillId="0" borderId="25" xfId="36125" applyBorder="1" applyAlignment="1">
      <alignment horizontal="center" vertical="center" wrapText="1"/>
    </xf>
    <xf numFmtId="0" fontId="7" fillId="0" borderId="70" xfId="36125" applyBorder="1" applyAlignment="1">
      <alignment horizontal="center" vertical="center" wrapText="1"/>
    </xf>
    <xf numFmtId="0" fontId="7" fillId="0" borderId="71" xfId="36125" applyBorder="1" applyAlignment="1">
      <alignment horizontal="center" vertical="center" wrapText="1"/>
    </xf>
    <xf numFmtId="0" fontId="7" fillId="0" borderId="71" xfId="36125" applyBorder="1" applyAlignment="1">
      <alignment horizontal="center"/>
    </xf>
    <xf numFmtId="2" fontId="7" fillId="0" borderId="70" xfId="36125" applyNumberFormat="1" applyFill="1" applyBorder="1" applyAlignment="1">
      <alignment horizontal="center"/>
    </xf>
    <xf numFmtId="179" fontId="7" fillId="0" borderId="70" xfId="36125" applyNumberFormat="1" applyFill="1" applyBorder="1" applyAlignment="1">
      <alignment horizontal="center"/>
    </xf>
    <xf numFmtId="0" fontId="7" fillId="0" borderId="70" xfId="36125" applyFill="1" applyBorder="1" applyAlignment="1">
      <alignment horizontal="center"/>
    </xf>
    <xf numFmtId="1" fontId="7" fillId="0" borderId="70" xfId="36125" applyNumberFormat="1" applyFill="1" applyBorder="1" applyAlignment="1">
      <alignment horizontal="center"/>
    </xf>
    <xf numFmtId="0" fontId="7" fillId="0" borderId="72" xfId="36125" applyFill="1" applyBorder="1" applyAlignment="1">
      <alignment horizontal="center"/>
    </xf>
    <xf numFmtId="9" fontId="0" fillId="0" borderId="72" xfId="36126" applyFont="1" applyFill="1" applyBorder="1" applyAlignment="1">
      <alignment horizontal="center"/>
    </xf>
    <xf numFmtId="0" fontId="7" fillId="0" borderId="54" xfId="36125" applyBorder="1" applyAlignment="1">
      <alignment horizontal="center" vertical="center" wrapText="1"/>
    </xf>
    <xf numFmtId="2" fontId="7" fillId="0" borderId="55" xfId="36125" applyNumberFormat="1" applyBorder="1" applyAlignment="1">
      <alignment horizontal="center"/>
    </xf>
    <xf numFmtId="0" fontId="7" fillId="0" borderId="62" xfId="36125" applyBorder="1" applyAlignment="1">
      <alignment horizontal="center" vertical="center" wrapText="1"/>
    </xf>
    <xf numFmtId="2" fontId="7" fillId="0" borderId="74" xfId="36125" applyNumberFormat="1" applyFill="1" applyBorder="1" applyAlignment="1">
      <alignment horizontal="center"/>
    </xf>
    <xf numFmtId="2" fontId="7" fillId="0" borderId="76" xfId="36125" applyNumberFormat="1" applyFill="1" applyBorder="1" applyAlignment="1">
      <alignment horizontal="center"/>
    </xf>
    <xf numFmtId="9" fontId="0" fillId="0" borderId="52" xfId="36126" applyFont="1" applyFill="1" applyBorder="1" applyAlignment="1">
      <alignment horizontal="center"/>
    </xf>
    <xf numFmtId="0" fontId="7" fillId="0" borderId="74" xfId="36125" applyBorder="1"/>
    <xf numFmtId="2" fontId="60" fillId="108" borderId="24" xfId="4" applyNumberFormat="1" applyFont="1" applyFill="1" applyBorder="1"/>
    <xf numFmtId="2" fontId="60" fillId="109" borderId="24" xfId="4" applyNumberFormat="1" applyFont="1" applyFill="1" applyBorder="1"/>
    <xf numFmtId="2" fontId="60" fillId="107" borderId="24" xfId="4" applyNumberFormat="1" applyFont="1" applyFill="1" applyBorder="1"/>
    <xf numFmtId="167" fontId="60" fillId="58" borderId="24" xfId="4" applyNumberFormat="1" applyFont="1" applyFill="1" applyBorder="1"/>
    <xf numFmtId="0" fontId="60" fillId="58" borderId="24" xfId="4" applyFont="1" applyFill="1" applyBorder="1"/>
    <xf numFmtId="2" fontId="60" fillId="58" borderId="24" xfId="4" applyNumberFormat="1" applyFont="1" applyFill="1" applyBorder="1"/>
    <xf numFmtId="2" fontId="60" fillId="58" borderId="24" xfId="3" applyNumberFormat="1" applyFont="1" applyFill="1" applyBorder="1"/>
    <xf numFmtId="2" fontId="123" fillId="58" borderId="24" xfId="3" applyNumberFormat="1" applyFont="1" applyFill="1" applyBorder="1"/>
    <xf numFmtId="1" fontId="60" fillId="58" borderId="24" xfId="3" applyNumberFormat="1" applyFont="1" applyFill="1" applyBorder="1"/>
    <xf numFmtId="181" fontId="60" fillId="58" borderId="24" xfId="3" applyNumberFormat="1" applyFont="1" applyFill="1" applyBorder="1"/>
    <xf numFmtId="167" fontId="60" fillId="110" borderId="24" xfId="4" applyNumberFormat="1" applyFont="1" applyFill="1" applyBorder="1"/>
    <xf numFmtId="0" fontId="60" fillId="110" borderId="24" xfId="4" applyFont="1" applyFill="1" applyBorder="1"/>
    <xf numFmtId="2" fontId="60" fillId="110" borderId="24" xfId="4" applyNumberFormat="1" applyFont="1" applyFill="1" applyBorder="1"/>
    <xf numFmtId="2" fontId="60" fillId="110" borderId="24" xfId="3" applyNumberFormat="1" applyFont="1" applyFill="1" applyBorder="1"/>
    <xf numFmtId="2" fontId="123" fillId="110" borderId="24" xfId="3" applyNumberFormat="1" applyFont="1" applyFill="1" applyBorder="1"/>
    <xf numFmtId="1" fontId="60" fillId="110" borderId="24" xfId="3" applyNumberFormat="1" applyFont="1" applyFill="1" applyBorder="1"/>
    <xf numFmtId="181" fontId="60" fillId="110" borderId="24" xfId="3" applyNumberFormat="1" applyFont="1" applyFill="1" applyBorder="1"/>
    <xf numFmtId="9" fontId="0" fillId="0" borderId="0" xfId="36094" applyFont="1"/>
    <xf numFmtId="9" fontId="6" fillId="0" borderId="52" xfId="36126" applyFont="1" applyBorder="1" applyAlignment="1">
      <alignment horizontal="center"/>
    </xf>
    <xf numFmtId="9" fontId="6" fillId="0" borderId="52" xfId="36094" applyFont="1" applyBorder="1" applyAlignment="1">
      <alignment horizontal="center"/>
    </xf>
    <xf numFmtId="9" fontId="0" fillId="111" borderId="0" xfId="36094" applyFont="1" applyFill="1"/>
    <xf numFmtId="9" fontId="6" fillId="111" borderId="52" xfId="36126" applyFont="1" applyFill="1" applyBorder="1" applyAlignment="1">
      <alignment horizontal="center"/>
    </xf>
    <xf numFmtId="9" fontId="0" fillId="111" borderId="52" xfId="36126" applyFont="1" applyFill="1" applyBorder="1" applyAlignment="1">
      <alignment horizontal="center"/>
    </xf>
    <xf numFmtId="0" fontId="128" fillId="110" borderId="0" xfId="36127" applyFont="1" applyFill="1"/>
    <xf numFmtId="0" fontId="5" fillId="0" borderId="0" xfId="36127"/>
    <xf numFmtId="0" fontId="5" fillId="56" borderId="0" xfId="36127" applyFill="1"/>
    <xf numFmtId="180" fontId="60" fillId="0" borderId="0" xfId="0" applyNumberFormat="1" applyFont="1" applyAlignment="1">
      <alignment horizontal="left" vertical="top"/>
    </xf>
    <xf numFmtId="0" fontId="60" fillId="0" borderId="77" xfId="0" applyFont="1" applyBorder="1" applyAlignment="1">
      <alignment horizontal="center" vertical="top"/>
    </xf>
    <xf numFmtId="167" fontId="65" fillId="29" borderId="10" xfId="36128" applyNumberFormat="1" applyFont="1" applyBorder="1" applyAlignment="1">
      <alignment horizontal="left" vertical="top" wrapText="1"/>
    </xf>
    <xf numFmtId="167" fontId="64" fillId="29" borderId="11" xfId="36128" applyNumberFormat="1" applyFont="1" applyBorder="1" applyAlignment="1">
      <alignment horizontal="left" vertical="top" wrapText="1"/>
    </xf>
    <xf numFmtId="167" fontId="64" fillId="29" borderId="10" xfId="36128" applyNumberFormat="1" applyFont="1" applyBorder="1" applyAlignment="1">
      <alignment horizontal="left" vertical="top" wrapText="1"/>
    </xf>
    <xf numFmtId="1" fontId="60" fillId="0" borderId="0" xfId="0" applyNumberFormat="1" applyFont="1" applyAlignment="1">
      <alignment horizontal="left" vertical="top"/>
    </xf>
    <xf numFmtId="0" fontId="65" fillId="29" borderId="10" xfId="36128" applyFont="1" applyBorder="1" applyAlignment="1">
      <alignment horizontal="center" vertical="center" wrapText="1"/>
    </xf>
    <xf numFmtId="179" fontId="127" fillId="29" borderId="10" xfId="36128" applyNumberFormat="1" applyFont="1" applyBorder="1" applyAlignment="1">
      <alignment horizontal="center" vertical="center" wrapText="1"/>
    </xf>
    <xf numFmtId="179" fontId="65" fillId="29" borderId="10" xfId="36128" applyNumberFormat="1" applyFont="1" applyBorder="1" applyAlignment="1">
      <alignment horizontal="center" vertical="center" wrapText="1"/>
    </xf>
    <xf numFmtId="166" fontId="60" fillId="108" borderId="24" xfId="16923" applyNumberFormat="1" applyFont="1" applyFill="1" applyBorder="1"/>
    <xf numFmtId="179" fontId="60" fillId="108" borderId="24" xfId="3" applyNumberFormat="1" applyFont="1" applyFill="1" applyBorder="1"/>
    <xf numFmtId="1" fontId="123" fillId="108" borderId="24" xfId="3" applyNumberFormat="1" applyFont="1" applyFill="1" applyBorder="1"/>
    <xf numFmtId="165" fontId="60" fillId="0" borderId="0" xfId="2307" applyFont="1" applyAlignment="1">
      <alignment horizontal="left" vertical="top"/>
    </xf>
    <xf numFmtId="9" fontId="60" fillId="0" borderId="0" xfId="16923" applyFont="1" applyAlignment="1">
      <alignment horizontal="left" vertical="top"/>
    </xf>
    <xf numFmtId="0" fontId="4" fillId="0" borderId="0" xfId="36129"/>
    <xf numFmtId="166" fontId="60" fillId="111" borderId="24" xfId="16923" applyNumberFormat="1" applyFont="1" applyFill="1" applyBorder="1"/>
    <xf numFmtId="11" fontId="4" fillId="0" borderId="0" xfId="36129" applyNumberFormat="1"/>
    <xf numFmtId="9" fontId="60" fillId="108" borderId="24" xfId="16923" applyFont="1" applyFill="1" applyBorder="1"/>
    <xf numFmtId="0" fontId="4" fillId="0" borderId="0" xfId="36130"/>
    <xf numFmtId="187" fontId="123" fillId="109" borderId="24" xfId="3" applyNumberFormat="1" applyFont="1" applyFill="1" applyBorder="1"/>
    <xf numFmtId="166" fontId="60" fillId="109" borderId="24" xfId="16923" applyNumberFormat="1" applyFont="1" applyFill="1" applyBorder="1"/>
    <xf numFmtId="179" fontId="60" fillId="109" borderId="24" xfId="3" applyNumberFormat="1" applyFont="1" applyFill="1" applyBorder="1"/>
    <xf numFmtId="1" fontId="123" fillId="109" borderId="24" xfId="3" applyNumberFormat="1" applyFont="1" applyFill="1" applyBorder="1"/>
    <xf numFmtId="2" fontId="60" fillId="111" borderId="24" xfId="3" applyNumberFormat="1" applyFont="1" applyFill="1" applyBorder="1"/>
    <xf numFmtId="166" fontId="60" fillId="57" borderId="24" xfId="16923" applyNumberFormat="1" applyFont="1" applyFill="1" applyBorder="1"/>
    <xf numFmtId="166" fontId="60" fillId="107" borderId="24" xfId="16923" applyNumberFormat="1" applyFont="1" applyFill="1" applyBorder="1"/>
    <xf numFmtId="179" fontId="60" fillId="107" borderId="24" xfId="3" applyNumberFormat="1" applyFont="1" applyFill="1" applyBorder="1"/>
    <xf numFmtId="1" fontId="123" fillId="107" borderId="24" xfId="3" applyNumberFormat="1" applyFont="1" applyFill="1" applyBorder="1"/>
    <xf numFmtId="11" fontId="4" fillId="0" borderId="0" xfId="36130" applyNumberFormat="1"/>
    <xf numFmtId="11" fontId="60" fillId="0" borderId="0" xfId="0" applyNumberFormat="1" applyFont="1" applyAlignment="1">
      <alignment horizontal="left" vertical="top"/>
    </xf>
    <xf numFmtId="10" fontId="60" fillId="107" borderId="24" xfId="16923" applyNumberFormat="1" applyFont="1" applyFill="1" applyBorder="1"/>
    <xf numFmtId="166" fontId="60" fillId="58" borderId="24" xfId="16923" applyNumberFormat="1" applyFont="1" applyFill="1" applyBorder="1"/>
    <xf numFmtId="179" fontId="60" fillId="58" borderId="24" xfId="3" applyNumberFormat="1" applyFont="1" applyFill="1" applyBorder="1"/>
    <xf numFmtId="166" fontId="60" fillId="110" borderId="24" xfId="16923" applyNumberFormat="1" applyFont="1" applyFill="1" applyBorder="1"/>
    <xf numFmtId="179" fontId="60" fillId="110" borderId="24" xfId="3" applyNumberFormat="1" applyFont="1" applyFill="1" applyBorder="1"/>
    <xf numFmtId="1" fontId="123" fillId="110" borderId="24" xfId="3" applyNumberFormat="1" applyFont="1" applyFill="1" applyBorder="1"/>
    <xf numFmtId="9" fontId="60" fillId="57" borderId="24" xfId="16923" applyFont="1" applyFill="1" applyBorder="1"/>
    <xf numFmtId="0" fontId="129" fillId="0" borderId="0" xfId="0" applyFont="1" applyAlignment="1">
      <alignment horizontal="left" vertical="top"/>
    </xf>
    <xf numFmtId="0" fontId="61" fillId="112" borderId="10" xfId="16948" applyFont="1" applyFill="1" applyBorder="1" applyAlignment="1">
      <alignment horizontal="left" vertical="top"/>
    </xf>
    <xf numFmtId="0" fontId="61" fillId="112" borderId="10" xfId="16948" applyFont="1" applyFill="1" applyBorder="1" applyAlignment="1">
      <alignment horizontal="left" vertical="top" wrapText="1"/>
    </xf>
    <xf numFmtId="167" fontId="60" fillId="112" borderId="24" xfId="36131" applyNumberFormat="1" applyFont="1" applyFill="1" applyBorder="1"/>
    <xf numFmtId="0" fontId="60" fillId="112" borderId="24" xfId="36131" applyFont="1" applyFill="1" applyBorder="1"/>
    <xf numFmtId="2" fontId="60" fillId="112" borderId="24" xfId="3" applyNumberFormat="1" applyFont="1" applyFill="1" applyBorder="1"/>
    <xf numFmtId="0" fontId="60" fillId="112" borderId="24" xfId="3" applyFont="1" applyFill="1" applyBorder="1"/>
    <xf numFmtId="179" fontId="60" fillId="112" borderId="24" xfId="3" applyNumberFormat="1" applyFont="1" applyFill="1" applyBorder="1"/>
    <xf numFmtId="0" fontId="60" fillId="112" borderId="0" xfId="36132" applyFont="1" applyFill="1" applyAlignment="1">
      <alignment horizontal="left" vertical="top"/>
    </xf>
    <xf numFmtId="2" fontId="2" fillId="0" borderId="0" xfId="36167" applyNumberFormat="1"/>
    <xf numFmtId="2" fontId="2" fillId="56" borderId="0" xfId="36167" applyNumberFormat="1" applyFill="1"/>
    <xf numFmtId="0" fontId="52" fillId="110" borderId="0" xfId="36167" applyFont="1" applyFill="1"/>
    <xf numFmtId="0" fontId="52" fillId="108" borderId="0" xfId="36167" applyFont="1" applyFill="1"/>
    <xf numFmtId="2" fontId="128" fillId="108" borderId="0" xfId="36167" applyNumberFormat="1" applyFont="1" applyFill="1"/>
    <xf numFmtId="2" fontId="52" fillId="108" borderId="0" xfId="36167" applyNumberFormat="1" applyFont="1" applyFill="1"/>
    <xf numFmtId="0" fontId="61" fillId="24" borderId="0" xfId="6" applyFont="1" applyFill="1" applyBorder="1" applyAlignment="1">
      <alignment horizontal="left" vertical="top" wrapText="1"/>
    </xf>
    <xf numFmtId="179" fontId="65" fillId="29" borderId="0" xfId="1" applyNumberFormat="1" applyFont="1" applyBorder="1" applyAlignment="1">
      <alignment horizontal="left" vertical="top" wrapText="1"/>
    </xf>
    <xf numFmtId="0" fontId="61" fillId="112" borderId="0" xfId="16948" applyFont="1" applyFill="1" applyBorder="1" applyAlignment="1">
      <alignment horizontal="left" vertical="top" wrapText="1"/>
    </xf>
    <xf numFmtId="0" fontId="0" fillId="0" borderId="25" xfId="0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71" xfId="0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179" fontId="0" fillId="0" borderId="50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9" fontId="0" fillId="0" borderId="52" xfId="16923" applyFont="1" applyFill="1" applyBorder="1" applyAlignment="1">
      <alignment horizontal="center" vertical="center"/>
    </xf>
    <xf numFmtId="2" fontId="0" fillId="0" borderId="70" xfId="0" applyNumberFormat="1" applyBorder="1" applyAlignment="1">
      <alignment horizontal="center" vertical="center"/>
    </xf>
    <xf numFmtId="179" fontId="0" fillId="0" borderId="70" xfId="0" applyNumberForma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167" fontId="60" fillId="0" borderId="24" xfId="0" applyNumberFormat="1" applyFont="1" applyBorder="1" applyAlignment="1">
      <alignment horizontal="left" vertical="top"/>
    </xf>
    <xf numFmtId="167" fontId="60" fillId="0" borderId="24" xfId="0" applyNumberFormat="1" applyFont="1" applyBorder="1" applyAlignment="1">
      <alignment horizontal="center" vertical="center"/>
    </xf>
    <xf numFmtId="0" fontId="128" fillId="110" borderId="0" xfId="36167" applyFont="1" applyFill="1"/>
    <xf numFmtId="0" fontId="2" fillId="0" borderId="0" xfId="36167"/>
    <xf numFmtId="0" fontId="128" fillId="108" borderId="0" xfId="36167" applyFont="1" applyFill="1"/>
    <xf numFmtId="0" fontId="2" fillId="56" borderId="0" xfId="36167" applyFill="1"/>
    <xf numFmtId="0" fontId="1" fillId="0" borderId="0" xfId="36167" applyFont="1"/>
    <xf numFmtId="1" fontId="0" fillId="111" borderId="70" xfId="0" applyNumberFormat="1" applyFill="1" applyBorder="1" applyAlignment="1">
      <alignment horizontal="center"/>
    </xf>
    <xf numFmtId="187" fontId="123" fillId="58" borderId="24" xfId="3" applyNumberFormat="1" applyFont="1" applyFill="1" applyBorder="1"/>
    <xf numFmtId="10" fontId="60" fillId="0" borderId="0" xfId="36094" applyNumberFormat="1" applyFont="1" applyAlignment="1">
      <alignment horizontal="left" vertical="top"/>
    </xf>
    <xf numFmtId="188" fontId="60" fillId="110" borderId="24" xfId="3" applyNumberFormat="1" applyFont="1" applyFill="1" applyBorder="1"/>
    <xf numFmtId="0" fontId="7" fillId="0" borderId="41" xfId="36125" applyBorder="1" applyAlignment="1">
      <alignment horizontal="left" vertical="center" wrapText="1"/>
    </xf>
    <xf numFmtId="0" fontId="7" fillId="0" borderId="45" xfId="36125" applyBorder="1" applyAlignment="1">
      <alignment horizontal="left" vertical="center" wrapText="1"/>
    </xf>
    <xf numFmtId="0" fontId="7" fillId="0" borderId="43" xfId="36125" applyBorder="1" applyAlignment="1">
      <alignment horizontal="left" vertical="center" wrapText="1"/>
    </xf>
    <xf numFmtId="0" fontId="7" fillId="0" borderId="25" xfId="36125" applyBorder="1" applyAlignment="1">
      <alignment horizontal="center" vertical="center" wrapText="1"/>
    </xf>
    <xf numFmtId="0" fontId="7" fillId="0" borderId="82" xfId="36125" applyBorder="1" applyAlignment="1">
      <alignment horizontal="center" vertical="center" wrapText="1"/>
    </xf>
    <xf numFmtId="0" fontId="7" fillId="0" borderId="75" xfId="36125" applyBorder="1" applyAlignment="1">
      <alignment horizontal="center" vertical="center" wrapText="1"/>
    </xf>
    <xf numFmtId="0" fontId="7" fillId="0" borderId="41" xfId="36125" applyBorder="1" applyAlignment="1">
      <alignment horizontal="left" vertical="center"/>
    </xf>
    <xf numFmtId="0" fontId="7" fillId="0" borderId="43" xfId="36125" applyBorder="1" applyAlignment="1">
      <alignment horizontal="left" vertical="center"/>
    </xf>
    <xf numFmtId="0" fontId="7" fillId="0" borderId="45" xfId="36125" applyBorder="1" applyAlignment="1">
      <alignment horizontal="left" vertical="center"/>
    </xf>
    <xf numFmtId="0" fontId="7" fillId="0" borderId="73" xfId="36125" applyBorder="1" applyAlignment="1">
      <alignment horizontal="center" vertical="center" wrapText="1"/>
    </xf>
    <xf numFmtId="0" fontId="7" fillId="0" borderId="67" xfId="36125" applyBorder="1" applyAlignment="1">
      <alignment horizontal="center" vertical="center" wrapText="1"/>
    </xf>
    <xf numFmtId="0" fontId="0" fillId="0" borderId="6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9" xfId="0" applyBorder="1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53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3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60" fillId="0" borderId="77" xfId="0" applyFont="1" applyBorder="1" applyAlignment="1">
      <alignment horizontal="center" vertical="top"/>
    </xf>
  </cellXfs>
  <cellStyles count="36188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>
        <row r="5">
          <cell r="H5">
            <v>0.29574226589403763</v>
          </cell>
          <cell r="I5">
            <v>18.893708932999999</v>
          </cell>
          <cell r="J5">
            <v>31.678237875780002</v>
          </cell>
          <cell r="K5">
            <v>33857.253063779492</v>
          </cell>
          <cell r="L5">
            <v>2.97557932</v>
          </cell>
          <cell r="M5">
            <v>10646.074081392662</v>
          </cell>
          <cell r="N5">
            <v>1383.6761070950265</v>
          </cell>
          <cell r="O5">
            <v>107.11434086032901</v>
          </cell>
        </row>
        <row r="6">
          <cell r="H6">
            <v>0.27102281432564018</v>
          </cell>
          <cell r="I6">
            <v>19.957648846000001</v>
          </cell>
          <cell r="J6">
            <v>3.7707452106800003</v>
          </cell>
          <cell r="K6">
            <v>40982.1610282072</v>
          </cell>
          <cell r="L6">
            <v>0.28306308000000002</v>
          </cell>
          <cell r="M6">
            <v>13321.218756893339</v>
          </cell>
          <cell r="N6">
            <v>1343.0866666666668</v>
          </cell>
          <cell r="O6">
            <v>13.913017692117103</v>
          </cell>
        </row>
        <row r="7">
          <cell r="H7">
            <v>1.4079922210878586</v>
          </cell>
          <cell r="I7">
            <v>18.893708932999999</v>
          </cell>
          <cell r="J7">
            <v>6.4637370030000002E-2</v>
          </cell>
          <cell r="K7">
            <v>56434.273897483348</v>
          </cell>
          <cell r="L7">
            <v>8.4618599999999999E-3</v>
          </cell>
          <cell r="M7">
            <v>7638.6716431139248</v>
          </cell>
          <cell r="N7">
            <v>1346.9862952194624</v>
          </cell>
          <cell r="O7">
            <v>4.5907476662093459E-2</v>
          </cell>
        </row>
        <row r="8">
          <cell r="H8">
            <v>1.4079922210878586</v>
          </cell>
          <cell r="I8">
            <v>13.893708932999999</v>
          </cell>
          <cell r="J8">
            <v>0</v>
          </cell>
          <cell r="K8">
            <v>25285.083214393977</v>
          </cell>
          <cell r="L8">
            <v>0</v>
          </cell>
          <cell r="M8">
            <v>7638.6716431139248</v>
          </cell>
          <cell r="N8">
            <v>1619.2717698146616</v>
          </cell>
          <cell r="O8">
            <v>0</v>
          </cell>
        </row>
        <row r="9">
          <cell r="H9">
            <v>0.3145699154482855</v>
          </cell>
          <cell r="I9">
            <v>18.893708932999999</v>
          </cell>
          <cell r="J9">
            <v>1.7641568769999998E-2</v>
          </cell>
          <cell r="K9">
            <v>36679.454380806776</v>
          </cell>
          <cell r="L9">
            <v>9.4355999999999997E-4</v>
          </cell>
          <cell r="M9">
            <v>18696.81712874645</v>
          </cell>
          <cell r="N9">
            <v>1383.6761070950265</v>
          </cell>
          <cell r="O9">
            <v>5.6081551043619199E-2</v>
          </cell>
        </row>
        <row r="10">
          <cell r="H10">
            <v>0.40973965605281193</v>
          </cell>
          <cell r="I10">
            <v>18.893708932999999</v>
          </cell>
          <cell r="J10">
            <v>0.46971251620999999</v>
          </cell>
          <cell r="K10">
            <v>38494.327307022897</v>
          </cell>
          <cell r="L10">
            <v>3.0966110000000002E-2</v>
          </cell>
          <cell r="M10">
            <v>15168.599356199406</v>
          </cell>
          <cell r="N10">
            <v>1133.0287043611559</v>
          </cell>
          <cell r="O10">
            <v>1.1463682103287998</v>
          </cell>
        </row>
        <row r="11">
          <cell r="H11">
            <v>0.5642532734319301</v>
          </cell>
          <cell r="I11">
            <v>18.893708932999999</v>
          </cell>
          <cell r="J11">
            <v>2.9731056589999999E-2</v>
          </cell>
          <cell r="K11">
            <v>51909.674036494784</v>
          </cell>
          <cell r="L11">
            <v>2.6780299999999996E-3</v>
          </cell>
          <cell r="M11">
            <v>11101.838511891205</v>
          </cell>
          <cell r="N11">
            <v>1215.1329648648723</v>
          </cell>
          <cell r="O11">
            <v>5.2690977598000004E-2</v>
          </cell>
          <cell r="P11">
            <v>0.6</v>
          </cell>
        </row>
        <row r="12">
          <cell r="H12">
            <v>1.0333422104936427</v>
          </cell>
          <cell r="I12">
            <v>18.893708932999999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H13">
            <v>0.22446549570454616</v>
          </cell>
          <cell r="I13">
            <v>22.051404092999999</v>
          </cell>
          <cell r="J13">
            <v>1.5297262593299998</v>
          </cell>
          <cell r="K13">
            <v>33896.666666666664</v>
          </cell>
          <cell r="L13">
            <v>0.15407905999999999</v>
          </cell>
          <cell r="M13">
            <v>9928.1904973329929</v>
          </cell>
          <cell r="N13">
            <v>1343.0866666666668</v>
          </cell>
          <cell r="O13">
            <v>6.8149728515223993</v>
          </cell>
        </row>
        <row r="14">
          <cell r="H14">
            <v>0.24232912878138677</v>
          </cell>
          <cell r="I14">
            <v>15.784552846</v>
          </cell>
          <cell r="J14">
            <v>7.4602587849400006</v>
          </cell>
          <cell r="K14">
            <v>50400.339083480678</v>
          </cell>
          <cell r="L14">
            <v>0.45972533000000004</v>
          </cell>
          <cell r="M14">
            <v>16227.64354737643</v>
          </cell>
          <cell r="N14">
            <v>1539.6112737265694</v>
          </cell>
          <cell r="O14">
            <v>30.785646044517208</v>
          </cell>
        </row>
        <row r="15">
          <cell r="H15">
            <v>1.3286632211786189</v>
          </cell>
          <cell r="I15">
            <v>22.051404092999999</v>
          </cell>
          <cell r="J15">
            <v>8.3059929500000004E-3</v>
          </cell>
          <cell r="K15">
            <v>70708.695652173919</v>
          </cell>
          <cell r="L15">
            <v>7.8132000000000006E-4</v>
          </cell>
          <cell r="M15">
            <v>10630.718463625659</v>
          </cell>
          <cell r="N15">
            <v>1709.806221731488</v>
          </cell>
          <cell r="O15">
            <v>6.251390734389406E-3</v>
          </cell>
        </row>
        <row r="16">
          <cell r="H16">
            <v>0.3145699154482855</v>
          </cell>
          <cell r="I16">
            <v>22.051404092999999</v>
          </cell>
          <cell r="J16">
            <v>3.4096106300000009E-3</v>
          </cell>
          <cell r="K16">
            <v>36718.867983693948</v>
          </cell>
          <cell r="L16">
            <v>3.1486000000000003E-4</v>
          </cell>
          <cell r="M16">
            <v>10828.973607317539</v>
          </cell>
          <cell r="N16">
            <v>1343.0866666666668</v>
          </cell>
          <cell r="O16">
            <v>1.083895967972987E-2</v>
          </cell>
        </row>
        <row r="17">
          <cell r="H17">
            <v>0.32080057540766083</v>
          </cell>
          <cell r="I17">
            <v>22.051404092999999</v>
          </cell>
          <cell r="J17">
            <v>1.7398037999999998E-4</v>
          </cell>
          <cell r="K17">
            <v>38539.138979341078</v>
          </cell>
          <cell r="L17">
            <v>1.029E-5</v>
          </cell>
          <cell r="M17">
            <v>16907.714285714286</v>
          </cell>
          <cell r="N17">
            <v>1099.7918790206932</v>
          </cell>
          <cell r="O17">
            <v>5.4233188260000009E-4</v>
          </cell>
        </row>
        <row r="18">
          <cell r="H18">
            <v>0.13638221628825251</v>
          </cell>
          <cell r="I18">
            <v>34.774647887</v>
          </cell>
        </row>
        <row r="19">
          <cell r="H19">
            <v>0.13187233674282225</v>
          </cell>
          <cell r="I19">
            <v>21.981385162999999</v>
          </cell>
        </row>
        <row r="20">
          <cell r="H20">
            <v>0.60056169190323494</v>
          </cell>
          <cell r="I20">
            <v>21.981385162999999</v>
          </cell>
        </row>
        <row r="21">
          <cell r="I21">
            <v>21.981385162999999</v>
          </cell>
        </row>
        <row r="22">
          <cell r="H22">
            <v>0.10878530623606167</v>
          </cell>
          <cell r="I22">
            <v>31</v>
          </cell>
          <cell r="J22">
            <v>1.01832366E-3</v>
          </cell>
          <cell r="K22">
            <v>0</v>
          </cell>
          <cell r="L22">
            <v>1.5787E-4</v>
          </cell>
          <cell r="M22">
            <v>6450.3937416861972</v>
          </cell>
          <cell r="N22">
            <v>18744.199504942342</v>
          </cell>
          <cell r="O22">
            <v>9.3608566747999996E-3</v>
          </cell>
        </row>
        <row r="23">
          <cell r="H23">
            <v>7.3200547754531456E-2</v>
          </cell>
          <cell r="I23">
            <v>26.248000000000001</v>
          </cell>
          <cell r="J23">
            <v>0.30566090464999995</v>
          </cell>
          <cell r="K23">
            <v>440000</v>
          </cell>
          <cell r="L23">
            <v>1.0997959999999999E-2</v>
          </cell>
          <cell r="M23">
            <v>27792.509215345392</v>
          </cell>
          <cell r="N23">
            <v>18744.199504942342</v>
          </cell>
          <cell r="O23">
            <v>4.1756641722817998</v>
          </cell>
        </row>
        <row r="24">
          <cell r="H24">
            <v>0.26548125081615598</v>
          </cell>
          <cell r="I24">
            <v>30</v>
          </cell>
          <cell r="J24">
            <v>2.8399149700000003E-3</v>
          </cell>
          <cell r="K24">
            <v>927408</v>
          </cell>
          <cell r="L24">
            <v>8.6559999999999998E-5</v>
          </cell>
          <cell r="M24">
            <v>32808.629505545287</v>
          </cell>
          <cell r="N24">
            <v>17224.399545082153</v>
          </cell>
          <cell r="O24">
            <v>1.0697233651225421E-2</v>
          </cell>
        </row>
        <row r="25">
          <cell r="H25">
            <v>0.58602989312730902</v>
          </cell>
          <cell r="I25">
            <v>12.147264359999999</v>
          </cell>
          <cell r="J25">
            <v>0.41820132955</v>
          </cell>
          <cell r="K25">
            <v>10000</v>
          </cell>
          <cell r="L25">
            <v>0.17391851999999999</v>
          </cell>
          <cell r="M25">
            <v>2404.5819246276938</v>
          </cell>
          <cell r="N25">
            <v>500</v>
          </cell>
          <cell r="O25">
            <v>0.71361774280539991</v>
          </cell>
        </row>
        <row r="26">
          <cell r="O26">
            <v>16.23163850531953</v>
          </cell>
        </row>
        <row r="27">
          <cell r="O27">
            <v>57.145128994219554</v>
          </cell>
        </row>
        <row r="28">
          <cell r="O28">
            <v>0.13344140266064158</v>
          </cell>
        </row>
        <row r="29">
          <cell r="O29">
            <v>0.21429400000000001</v>
          </cell>
        </row>
        <row r="30">
          <cell r="O30">
            <v>1.5216156755530919</v>
          </cell>
        </row>
        <row r="31">
          <cell r="O31">
            <v>5.6542000000000002E-2</v>
          </cell>
        </row>
        <row r="32">
          <cell r="O32">
            <v>3.6186409269341855</v>
          </cell>
        </row>
        <row r="33">
          <cell r="O33">
            <v>13.286203471697528</v>
          </cell>
        </row>
      </sheetData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B1:R34"/>
  <sheetViews>
    <sheetView topLeftCell="E10" zoomScale="70" zoomScaleNormal="70" workbookViewId="0">
      <selection activeCell="R34" sqref="R34"/>
    </sheetView>
  </sheetViews>
  <sheetFormatPr defaultColWidth="9.140625" defaultRowHeight="15"/>
  <cols>
    <col min="1" max="1" width="9.140625" style="175"/>
    <col min="2" max="2" width="24.28515625" style="175" customWidth="1"/>
    <col min="3" max="3" width="19.7109375" style="175" customWidth="1"/>
    <col min="4" max="5" width="17.5703125" style="176" customWidth="1"/>
    <col min="6" max="6" width="27.28515625" style="176" customWidth="1"/>
    <col min="7" max="7" width="17.7109375" style="175" customWidth="1"/>
    <col min="8" max="8" width="15.28515625" style="175" customWidth="1"/>
    <col min="9" max="9" width="11.42578125" style="175" customWidth="1"/>
    <col min="10" max="10" width="10.85546875" style="175" customWidth="1"/>
    <col min="11" max="11" width="9.140625" style="175"/>
    <col min="12" max="12" width="12.7109375" style="175" customWidth="1"/>
    <col min="13" max="13" width="16.7109375" style="175" customWidth="1"/>
    <col min="14" max="14" width="11.42578125" style="175" customWidth="1"/>
    <col min="15" max="15" width="16.28515625" style="175" customWidth="1"/>
    <col min="16" max="16" width="17.85546875" style="175" customWidth="1"/>
    <col min="17" max="17" width="15.42578125" style="175" customWidth="1"/>
    <col min="18" max="18" width="18.28515625" style="175" bestFit="1" customWidth="1"/>
    <col min="19" max="19" width="13.140625" style="175" customWidth="1"/>
    <col min="20" max="20" width="25.85546875" style="175" customWidth="1"/>
    <col min="21" max="16384" width="9.140625" style="175"/>
  </cols>
  <sheetData>
    <row r="1" spans="2:18">
      <c r="J1" s="177">
        <v>1000</v>
      </c>
    </row>
    <row r="2" spans="2:18" ht="20.100000000000001" customHeight="1">
      <c r="H2" s="178" t="str">
        <f>'[7]VFEM Pivot'!D2</f>
        <v>2018 Data</v>
      </c>
      <c r="I2" s="179"/>
      <c r="J2" s="180"/>
      <c r="L2" s="179"/>
      <c r="M2" s="179"/>
      <c r="N2" s="179"/>
      <c r="O2" s="179"/>
      <c r="P2" s="179"/>
    </row>
    <row r="3" spans="2:18" ht="20.100000000000001" customHeight="1" thickBot="1">
      <c r="Q3" s="181"/>
    </row>
    <row r="4" spans="2:18" ht="20.100000000000001" customHeight="1" thickBot="1">
      <c r="B4" s="182" t="s">
        <v>189</v>
      </c>
      <c r="C4" s="183" t="s">
        <v>190</v>
      </c>
      <c r="D4" s="184" t="s">
        <v>191</v>
      </c>
      <c r="E4" s="184" t="s">
        <v>192</v>
      </c>
      <c r="F4" s="185" t="s">
        <v>193</v>
      </c>
      <c r="G4" s="186" t="s">
        <v>194</v>
      </c>
      <c r="H4" s="187" t="s">
        <v>103</v>
      </c>
      <c r="I4" s="187" t="s">
        <v>195</v>
      </c>
      <c r="J4" s="187" t="s">
        <v>196</v>
      </c>
      <c r="K4" s="187" t="s">
        <v>197</v>
      </c>
      <c r="L4" s="187" t="s">
        <v>198</v>
      </c>
      <c r="M4" s="187" t="s">
        <v>199</v>
      </c>
      <c r="N4" s="187" t="s">
        <v>200</v>
      </c>
      <c r="O4" s="187" t="s">
        <v>201</v>
      </c>
      <c r="P4" s="188" t="s">
        <v>202</v>
      </c>
      <c r="Q4" s="189" t="s">
        <v>277</v>
      </c>
      <c r="R4" s="189" t="s">
        <v>203</v>
      </c>
    </row>
    <row r="5" spans="2:18" ht="20.100000000000001" customHeight="1" thickBot="1">
      <c r="B5" s="355" t="s">
        <v>204</v>
      </c>
      <c r="C5" s="358" t="s">
        <v>205</v>
      </c>
      <c r="D5" s="190" t="s">
        <v>206</v>
      </c>
      <c r="E5" s="190" t="s">
        <v>207</v>
      </c>
      <c r="F5" s="191" t="s">
        <v>156</v>
      </c>
      <c r="G5" s="192" t="s">
        <v>208</v>
      </c>
      <c r="H5" s="193">
        <v>0.28964251024745374</v>
      </c>
      <c r="I5" s="194">
        <v>18.893708932999999</v>
      </c>
      <c r="J5" s="194">
        <v>28.939</v>
      </c>
      <c r="K5" s="195">
        <v>33857.253063779492</v>
      </c>
      <c r="L5" s="194">
        <v>2712.0790000000002</v>
      </c>
      <c r="M5" s="195">
        <v>10670.123224518902</v>
      </c>
      <c r="N5" s="195">
        <v>1383.6761070950265</v>
      </c>
      <c r="O5" s="193">
        <v>99.91011712992983</v>
      </c>
      <c r="P5" s="196"/>
      <c r="Q5" s="197">
        <f>ROUNDUP(1-R5,3)</f>
        <v>0.249</v>
      </c>
      <c r="R5" s="197">
        <v>0.75152757802726511</v>
      </c>
    </row>
    <row r="6" spans="2:18" ht="20.100000000000001" customHeight="1" thickBot="1">
      <c r="B6" s="356"/>
      <c r="C6" s="359"/>
      <c r="D6" s="190" t="s">
        <v>206</v>
      </c>
      <c r="E6" s="198" t="s">
        <v>207</v>
      </c>
      <c r="F6" s="199" t="s">
        <v>157</v>
      </c>
      <c r="G6" s="200" t="s">
        <v>208</v>
      </c>
      <c r="H6" s="201">
        <v>0.27145637995161387</v>
      </c>
      <c r="I6" s="202">
        <v>19.957648846000001</v>
      </c>
      <c r="J6" s="202">
        <v>3.36</v>
      </c>
      <c r="K6" s="203">
        <v>40982.1610282072</v>
      </c>
      <c r="L6" s="202">
        <v>250.92199999999997</v>
      </c>
      <c r="M6" s="203">
        <v>13389.630525063567</v>
      </c>
      <c r="N6" s="203">
        <v>1343.0866666666668</v>
      </c>
      <c r="O6" s="201">
        <v>12.376768861387102</v>
      </c>
      <c r="P6" s="204"/>
      <c r="Q6" s="205">
        <f t="shared" ref="Q6:Q33" si="0">ROUNDUP(1-R6,3)</f>
        <v>0.249</v>
      </c>
      <c r="R6" s="205">
        <v>0.75152757802726511</v>
      </c>
    </row>
    <row r="7" spans="2:18" ht="20.100000000000001" customHeight="1" thickBot="1">
      <c r="B7" s="356"/>
      <c r="C7" s="359"/>
      <c r="D7" s="190" t="s">
        <v>206</v>
      </c>
      <c r="E7" s="198" t="s">
        <v>209</v>
      </c>
      <c r="F7" s="199" t="s">
        <v>155</v>
      </c>
      <c r="G7" s="200" t="s">
        <v>208</v>
      </c>
      <c r="H7" s="201">
        <v>1.3967093772495132</v>
      </c>
      <c r="I7" s="202">
        <v>18.893708932999999</v>
      </c>
      <c r="J7" s="202">
        <v>4.0000000000000001E-3</v>
      </c>
      <c r="K7" s="203">
        <v>56434.273897483348</v>
      </c>
      <c r="L7" s="202">
        <v>0.47199999999999998</v>
      </c>
      <c r="M7" s="203">
        <v>6505.1711652542372</v>
      </c>
      <c r="N7" s="203">
        <v>1346.9862952194624</v>
      </c>
      <c r="O7" s="201">
        <v>5.7100722237726439E-4</v>
      </c>
      <c r="P7" s="204"/>
      <c r="Q7" s="205">
        <f t="shared" si="0"/>
        <v>0.249</v>
      </c>
      <c r="R7" s="205">
        <v>0.75152757802726511</v>
      </c>
    </row>
    <row r="8" spans="2:18" ht="20.100000000000001" customHeight="1" thickBot="1">
      <c r="B8" s="356"/>
      <c r="C8" s="359"/>
      <c r="D8" s="190" t="s">
        <v>206</v>
      </c>
      <c r="E8" s="198" t="s">
        <v>210</v>
      </c>
      <c r="F8" s="199" t="s">
        <v>155</v>
      </c>
      <c r="G8" s="200" t="s">
        <v>208</v>
      </c>
      <c r="H8" s="201">
        <v>1.3967093772495132</v>
      </c>
      <c r="I8" s="202">
        <v>13.893708932999999</v>
      </c>
      <c r="J8" s="202">
        <v>0</v>
      </c>
      <c r="K8" s="203">
        <v>25285.083214393977</v>
      </c>
      <c r="L8" s="202">
        <v>0</v>
      </c>
      <c r="M8" s="203">
        <v>6505.1711652542372</v>
      </c>
      <c r="N8" s="203">
        <v>1619.2717698146616</v>
      </c>
      <c r="O8" s="201">
        <v>1.6273318451576746E-3</v>
      </c>
      <c r="P8" s="204"/>
      <c r="Q8" s="205">
        <f t="shared" si="0"/>
        <v>0.249</v>
      </c>
      <c r="R8" s="205">
        <v>0.75152757802726511</v>
      </c>
    </row>
    <row r="9" spans="2:18" ht="20.100000000000001" customHeight="1" thickBot="1">
      <c r="B9" s="356"/>
      <c r="C9" s="359"/>
      <c r="D9" s="190" t="s">
        <v>206</v>
      </c>
      <c r="E9" s="198" t="s">
        <v>207</v>
      </c>
      <c r="F9" s="199" t="s">
        <v>133</v>
      </c>
      <c r="G9" s="200" t="s">
        <v>211</v>
      </c>
      <c r="H9" s="201">
        <v>0.30808183498335601</v>
      </c>
      <c r="I9" s="202">
        <v>18.893708932999999</v>
      </c>
      <c r="J9" s="202">
        <v>2.8000000000000001E-2</v>
      </c>
      <c r="K9" s="203">
        <v>36679.454380806776</v>
      </c>
      <c r="L9" s="202">
        <v>1.107</v>
      </c>
      <c r="M9" s="203">
        <v>24600.90009936766</v>
      </c>
      <c r="N9" s="203">
        <v>1383.6761070950265</v>
      </c>
      <c r="O9" s="201">
        <v>8.8395982228135134E-2</v>
      </c>
      <c r="P9" s="204"/>
      <c r="Q9" s="205">
        <f t="shared" si="0"/>
        <v>0.249</v>
      </c>
      <c r="R9" s="205">
        <v>0.75152757802726511</v>
      </c>
    </row>
    <row r="10" spans="2:18" ht="20.100000000000001" customHeight="1" thickBot="1">
      <c r="B10" s="356"/>
      <c r="C10" s="359"/>
      <c r="D10" s="190" t="s">
        <v>206</v>
      </c>
      <c r="E10" s="198" t="s">
        <v>212</v>
      </c>
      <c r="F10" s="199" t="s">
        <v>156</v>
      </c>
      <c r="G10" s="200" t="s">
        <v>211</v>
      </c>
      <c r="H10" s="201">
        <v>0.40881958394081114</v>
      </c>
      <c r="I10" s="202">
        <v>18.893708932999999</v>
      </c>
      <c r="J10" s="202">
        <v>0.27800000000000002</v>
      </c>
      <c r="K10" s="203">
        <v>38494.327307022897</v>
      </c>
      <c r="L10" s="202">
        <v>14.217000000000001</v>
      </c>
      <c r="M10" s="203">
        <v>19528.13987339101</v>
      </c>
      <c r="N10" s="203">
        <v>1133.0287043611559</v>
      </c>
      <c r="O10" s="201">
        <v>0.67910534496360009</v>
      </c>
      <c r="P10" s="204"/>
      <c r="Q10" s="205">
        <f t="shared" si="0"/>
        <v>0.249</v>
      </c>
      <c r="R10" s="205">
        <v>0.75152757802726511</v>
      </c>
    </row>
    <row r="11" spans="2:18" ht="20.100000000000001" customHeight="1" thickBot="1">
      <c r="B11" s="356"/>
      <c r="C11" s="359"/>
      <c r="D11" s="190" t="s">
        <v>206</v>
      </c>
      <c r="E11" s="206" t="s">
        <v>213</v>
      </c>
      <c r="F11" s="199" t="s">
        <v>156</v>
      </c>
      <c r="G11" s="207" t="s">
        <v>211</v>
      </c>
      <c r="H11" s="201">
        <v>0.54411803291671346</v>
      </c>
      <c r="I11" s="202">
        <v>18.893708932999999</v>
      </c>
      <c r="J11" s="202">
        <v>6.0000000000000001E-3</v>
      </c>
      <c r="K11" s="203">
        <v>51909.674036494784</v>
      </c>
      <c r="L11" s="202">
        <v>0.46600000000000003</v>
      </c>
      <c r="M11" s="203">
        <v>11339.240429184549</v>
      </c>
      <c r="N11" s="203">
        <v>1215.1329648648723</v>
      </c>
      <c r="O11" s="201">
        <v>9.7112863760000015E-3</v>
      </c>
      <c r="P11" s="205">
        <v>0.6</v>
      </c>
      <c r="Q11" s="205">
        <f t="shared" si="0"/>
        <v>0.249</v>
      </c>
      <c r="R11" s="205">
        <v>0.75152757802726511</v>
      </c>
    </row>
    <row r="12" spans="2:18" ht="20.100000000000001" customHeight="1" thickBot="1">
      <c r="B12" s="356"/>
      <c r="C12" s="360"/>
      <c r="D12" s="208" t="s">
        <v>206</v>
      </c>
      <c r="E12" s="209" t="s">
        <v>213</v>
      </c>
      <c r="F12" s="210" t="s">
        <v>155</v>
      </c>
      <c r="G12" s="211" t="s">
        <v>211</v>
      </c>
      <c r="H12" s="212">
        <v>0.99498002582370737</v>
      </c>
      <c r="I12" s="213">
        <v>18.893708932999999</v>
      </c>
      <c r="J12" s="213">
        <v>0</v>
      </c>
      <c r="K12" s="214"/>
      <c r="L12" s="213">
        <v>0</v>
      </c>
      <c r="M12" s="215"/>
      <c r="N12" s="215"/>
      <c r="O12" s="212">
        <v>0</v>
      </c>
      <c r="P12" s="216"/>
      <c r="Q12" s="217">
        <f t="shared" si="0"/>
        <v>0.249</v>
      </c>
      <c r="R12" s="217">
        <v>0.75152757802726511</v>
      </c>
    </row>
    <row r="13" spans="2:18" ht="20.100000000000001" customHeight="1">
      <c r="B13" s="356"/>
      <c r="C13" s="358" t="s">
        <v>214</v>
      </c>
      <c r="D13" s="190" t="s">
        <v>215</v>
      </c>
      <c r="E13" s="190" t="s">
        <v>207</v>
      </c>
      <c r="F13" s="191" t="s">
        <v>156</v>
      </c>
      <c r="G13" s="192" t="s">
        <v>208</v>
      </c>
      <c r="H13" s="193">
        <v>0.22158279949800538</v>
      </c>
      <c r="I13" s="194">
        <v>22.051404092999999</v>
      </c>
      <c r="J13" s="194">
        <v>1.5169999999999999</v>
      </c>
      <c r="K13" s="195">
        <v>33896.666666666664</v>
      </c>
      <c r="L13" s="194">
        <v>146.91</v>
      </c>
      <c r="M13" s="195">
        <v>10322.833748077053</v>
      </c>
      <c r="N13" s="195">
        <v>1343.0866666666668</v>
      </c>
      <c r="O13" s="193">
        <v>6.8440669102732006</v>
      </c>
      <c r="P13" s="196"/>
      <c r="Q13" s="197">
        <f t="shared" si="0"/>
        <v>0.30499999999999999</v>
      </c>
      <c r="R13" s="197">
        <v>0.69509181183037516</v>
      </c>
    </row>
    <row r="14" spans="2:18" ht="20.100000000000001" customHeight="1">
      <c r="B14" s="356"/>
      <c r="C14" s="359"/>
      <c r="D14" s="198" t="s">
        <v>215</v>
      </c>
      <c r="E14" s="198" t="s">
        <v>207</v>
      </c>
      <c r="F14" s="218" t="s">
        <v>157</v>
      </c>
      <c r="G14" s="200" t="s">
        <v>208</v>
      </c>
      <c r="H14" s="201">
        <v>0.24297541688957527</v>
      </c>
      <c r="I14" s="202">
        <v>15.784552846</v>
      </c>
      <c r="J14" s="202">
        <v>5.7310000000000008</v>
      </c>
      <c r="K14" s="203">
        <v>50400.339083480678</v>
      </c>
      <c r="L14" s="202">
        <v>356.108</v>
      </c>
      <c r="M14" s="203">
        <v>16092.787084199173</v>
      </c>
      <c r="N14" s="203">
        <v>1539.6112737265694</v>
      </c>
      <c r="O14" s="201">
        <v>23.5858026146919</v>
      </c>
      <c r="P14" s="204"/>
      <c r="Q14" s="205">
        <f t="shared" si="0"/>
        <v>0.30499999999999999</v>
      </c>
      <c r="R14" s="205">
        <v>0.69509181183037516</v>
      </c>
    </row>
    <row r="15" spans="2:18" ht="20.100000000000001" customHeight="1">
      <c r="B15" s="356"/>
      <c r="C15" s="359"/>
      <c r="D15" s="198" t="s">
        <v>215</v>
      </c>
      <c r="E15" s="198" t="s">
        <v>209</v>
      </c>
      <c r="F15" s="218" t="s">
        <v>155</v>
      </c>
      <c r="G15" s="200" t="s">
        <v>208</v>
      </c>
      <c r="H15" s="201">
        <v>1.2845583191999705</v>
      </c>
      <c r="I15" s="202">
        <v>22.051404092999999</v>
      </c>
      <c r="J15" s="202">
        <v>1E-3</v>
      </c>
      <c r="K15" s="203">
        <v>70708.695652173919</v>
      </c>
      <c r="L15" s="202">
        <v>2.4E-2</v>
      </c>
      <c r="M15" s="203">
        <v>2754.4091666666668</v>
      </c>
      <c r="N15" s="203">
        <v>1709.806221731488</v>
      </c>
      <c r="O15" s="201">
        <v>5.1461906409333794E-5</v>
      </c>
      <c r="P15" s="204"/>
      <c r="Q15" s="205">
        <f t="shared" si="0"/>
        <v>0.30499999999999999</v>
      </c>
      <c r="R15" s="205">
        <v>0.69509181183037516</v>
      </c>
    </row>
    <row r="16" spans="2:18" ht="20.100000000000001" customHeight="1">
      <c r="B16" s="356"/>
      <c r="C16" s="359"/>
      <c r="D16" s="198" t="s">
        <v>215</v>
      </c>
      <c r="E16" s="198" t="s">
        <v>207</v>
      </c>
      <c r="F16" s="218" t="s">
        <v>133</v>
      </c>
      <c r="G16" s="200" t="s">
        <v>211</v>
      </c>
      <c r="H16" s="201">
        <v>0.30808183498335601</v>
      </c>
      <c r="I16" s="202">
        <v>22.051404092999999</v>
      </c>
      <c r="J16" s="202">
        <v>4.0000000000000001E-3</v>
      </c>
      <c r="K16" s="203">
        <v>36718.867983693948</v>
      </c>
      <c r="L16" s="202">
        <v>0.28599999999999998</v>
      </c>
      <c r="M16" s="203">
        <v>12097.956888111888</v>
      </c>
      <c r="N16" s="203">
        <v>1343.0866666666668</v>
      </c>
      <c r="O16" s="201">
        <v>1.1230833100519951E-2</v>
      </c>
      <c r="P16" s="204"/>
      <c r="Q16" s="205">
        <f t="shared" si="0"/>
        <v>0.30499999999999999</v>
      </c>
      <c r="R16" s="205">
        <v>0.69509181183037516</v>
      </c>
    </row>
    <row r="17" spans="2:18" ht="20.100000000000001" customHeight="1" thickBot="1">
      <c r="B17" s="357"/>
      <c r="C17" s="360"/>
      <c r="D17" s="209" t="s">
        <v>215</v>
      </c>
      <c r="E17" s="209" t="s">
        <v>212</v>
      </c>
      <c r="F17" s="219" t="s">
        <v>156</v>
      </c>
      <c r="G17" s="220" t="s">
        <v>211</v>
      </c>
      <c r="H17" s="212">
        <v>0.28050534446079667</v>
      </c>
      <c r="I17" s="213">
        <v>22.051404092999999</v>
      </c>
      <c r="J17" s="213">
        <v>1E-3</v>
      </c>
      <c r="K17" s="215">
        <v>38539.138979341078</v>
      </c>
      <c r="L17" s="213">
        <v>3.0000000000000001E-3</v>
      </c>
      <c r="M17" s="215">
        <v>19973.703333333335</v>
      </c>
      <c r="N17" s="215">
        <v>1099.7918790206932</v>
      </c>
      <c r="O17" s="212">
        <v>2.1361842540000003E-4</v>
      </c>
      <c r="P17" s="216"/>
      <c r="Q17" s="217">
        <f t="shared" si="0"/>
        <v>0.30499999999999999</v>
      </c>
      <c r="R17" s="217">
        <v>0.69509181183037516</v>
      </c>
    </row>
    <row r="18" spans="2:18" ht="20.100000000000001" customHeight="1">
      <c r="B18" s="355" t="s">
        <v>216</v>
      </c>
      <c r="C18" s="358" t="s">
        <v>217</v>
      </c>
      <c r="D18" s="190" t="s">
        <v>218</v>
      </c>
      <c r="E18" s="190" t="s">
        <v>207</v>
      </c>
      <c r="F18" s="221" t="s">
        <v>156</v>
      </c>
      <c r="G18" s="192" t="s">
        <v>208</v>
      </c>
      <c r="H18" s="193">
        <v>0.14021476092685786</v>
      </c>
      <c r="I18" s="194">
        <v>34.774647887</v>
      </c>
      <c r="J18" s="194">
        <v>1.0999999999999999E-2</v>
      </c>
      <c r="K18" s="222"/>
      <c r="L18" s="194">
        <v>2.9649999999999999</v>
      </c>
      <c r="M18" s="195">
        <v>3506.1434401349075</v>
      </c>
      <c r="N18" s="195">
        <v>3833.3491898492575</v>
      </c>
      <c r="O18" s="193">
        <v>7.4141375924200018E-2</v>
      </c>
      <c r="P18" s="196"/>
      <c r="Q18" s="197">
        <f t="shared" si="0"/>
        <v>0.29699999999999999</v>
      </c>
      <c r="R18" s="197">
        <v>0.70342808703552206</v>
      </c>
    </row>
    <row r="19" spans="2:18" ht="20.100000000000001" customHeight="1">
      <c r="B19" s="356"/>
      <c r="C19" s="359"/>
      <c r="D19" s="198" t="s">
        <v>218</v>
      </c>
      <c r="E19" s="198" t="s">
        <v>207</v>
      </c>
      <c r="F19" s="223" t="s">
        <v>157</v>
      </c>
      <c r="G19" s="200" t="s">
        <v>208</v>
      </c>
      <c r="H19" s="201">
        <v>0.13479584134353043</v>
      </c>
      <c r="I19" s="202">
        <v>21.981385162999999</v>
      </c>
      <c r="J19" s="202">
        <v>0.81200000000000006</v>
      </c>
      <c r="K19" s="224">
        <v>100000</v>
      </c>
      <c r="L19" s="202">
        <v>83.051000000000002</v>
      </c>
      <c r="M19" s="203">
        <v>9773.7372979253723</v>
      </c>
      <c r="N19" s="203">
        <v>3833.3491898492575</v>
      </c>
      <c r="O19" s="201">
        <v>6.0218375302937996</v>
      </c>
      <c r="P19" s="204"/>
      <c r="Q19" s="205">
        <f t="shared" si="0"/>
        <v>0.29699999999999999</v>
      </c>
      <c r="R19" s="205">
        <v>0.70342808703552206</v>
      </c>
    </row>
    <row r="20" spans="2:18" ht="20.100000000000001" customHeight="1" thickBot="1">
      <c r="B20" s="356"/>
      <c r="C20" s="360"/>
      <c r="D20" s="209" t="s">
        <v>218</v>
      </c>
      <c r="E20" s="209" t="s">
        <v>209</v>
      </c>
      <c r="F20" s="225" t="s">
        <v>155</v>
      </c>
      <c r="G20" s="220" t="s">
        <v>211</v>
      </c>
      <c r="H20" s="212">
        <v>0.4206022071259739</v>
      </c>
      <c r="I20" s="213">
        <v>21.981385162999999</v>
      </c>
      <c r="J20" s="213">
        <v>1E-3</v>
      </c>
      <c r="K20" s="214">
        <v>194172</v>
      </c>
      <c r="L20" s="213">
        <v>5.0000000000000001E-3</v>
      </c>
      <c r="M20" s="215">
        <v>11674.438</v>
      </c>
      <c r="N20" s="215">
        <v>3522.5370933749941</v>
      </c>
      <c r="O20" s="212">
        <v>1.3878241485907618E-4</v>
      </c>
      <c r="P20" s="216"/>
      <c r="Q20" s="217">
        <f t="shared" si="0"/>
        <v>0.29699999999999999</v>
      </c>
      <c r="R20" s="217">
        <v>0.70342808703552206</v>
      </c>
    </row>
    <row r="21" spans="2:18" ht="32.25" customHeight="1" thickBot="1">
      <c r="B21" s="357"/>
      <c r="C21" s="226" t="s">
        <v>219</v>
      </c>
      <c r="D21" s="208" t="s">
        <v>220</v>
      </c>
      <c r="E21" s="208" t="s">
        <v>207</v>
      </c>
      <c r="F21" s="227" t="s">
        <v>157</v>
      </c>
      <c r="G21" s="184" t="s">
        <v>208</v>
      </c>
      <c r="H21" s="228">
        <v>5.0548162725452636E-2</v>
      </c>
      <c r="I21" s="229">
        <v>21.981385162999999</v>
      </c>
      <c r="J21" s="229">
        <v>1.99</v>
      </c>
      <c r="K21" s="230">
        <v>200000</v>
      </c>
      <c r="L21" s="229">
        <v>73.424999999999997</v>
      </c>
      <c r="M21" s="231">
        <v>27090.252711610487</v>
      </c>
      <c r="N21" s="231">
        <v>16297.617065285449</v>
      </c>
      <c r="O21" s="228">
        <v>39.350625187973904</v>
      </c>
      <c r="P21" s="232"/>
      <c r="Q21" s="233">
        <f t="shared" si="0"/>
        <v>0.29699999999999999</v>
      </c>
      <c r="R21" s="233">
        <v>0.70342808703552206</v>
      </c>
    </row>
    <row r="22" spans="2:18" ht="20.100000000000001" customHeight="1">
      <c r="B22" s="355" t="s">
        <v>221</v>
      </c>
      <c r="C22" s="358" t="s">
        <v>222</v>
      </c>
      <c r="D22" s="190" t="s">
        <v>223</v>
      </c>
      <c r="E22" s="190" t="s">
        <v>207</v>
      </c>
      <c r="F22" s="191" t="s">
        <v>156</v>
      </c>
      <c r="G22" s="192" t="s">
        <v>208</v>
      </c>
      <c r="H22" s="193">
        <v>0.10688252747207665</v>
      </c>
      <c r="I22" s="194">
        <v>31</v>
      </c>
      <c r="J22" s="194">
        <v>1E-3</v>
      </c>
      <c r="K22" s="222"/>
      <c r="L22" s="194">
        <v>0.16800000000000001</v>
      </c>
      <c r="M22" s="195">
        <v>5752.6489285714288</v>
      </c>
      <c r="N22" s="195">
        <v>19152.472074982492</v>
      </c>
      <c r="O22" s="193">
        <v>9.0421235617999998E-3</v>
      </c>
      <c r="P22" s="196"/>
      <c r="Q22" s="197">
        <f t="shared" si="0"/>
        <v>0.32500000000000001</v>
      </c>
      <c r="R22" s="197">
        <v>0.67586608607034215</v>
      </c>
    </row>
    <row r="23" spans="2:18" ht="20.100000000000001" customHeight="1">
      <c r="B23" s="356"/>
      <c r="C23" s="359"/>
      <c r="D23" s="198" t="s">
        <v>223</v>
      </c>
      <c r="E23" s="198" t="s">
        <v>207</v>
      </c>
      <c r="F23" s="199" t="s">
        <v>157</v>
      </c>
      <c r="G23" s="200" t="s">
        <v>208</v>
      </c>
      <c r="H23" s="201">
        <v>7.3140734768071314E-2</v>
      </c>
      <c r="I23" s="202">
        <v>26.248000000000001</v>
      </c>
      <c r="J23" s="202">
        <v>0.26200000000000001</v>
      </c>
      <c r="K23" s="224">
        <v>440000</v>
      </c>
      <c r="L23" s="202">
        <v>9.1389999999999993</v>
      </c>
      <c r="M23" s="203">
        <v>28600.88882591093</v>
      </c>
      <c r="N23" s="203">
        <v>19152.472074982492</v>
      </c>
      <c r="O23" s="201">
        <v>3.573706550923299</v>
      </c>
      <c r="P23" s="204"/>
      <c r="Q23" s="205">
        <f t="shared" si="0"/>
        <v>0.32500000000000001</v>
      </c>
      <c r="R23" s="205">
        <v>0.67586608607034215</v>
      </c>
    </row>
    <row r="24" spans="2:18" ht="20.100000000000001" customHeight="1" thickBot="1">
      <c r="B24" s="357"/>
      <c r="C24" s="360"/>
      <c r="D24" s="209" t="s">
        <v>223</v>
      </c>
      <c r="E24" s="209" t="s">
        <v>209</v>
      </c>
      <c r="F24" s="210" t="s">
        <v>155</v>
      </c>
      <c r="G24" s="220" t="s">
        <v>208</v>
      </c>
      <c r="H24" s="212">
        <v>0.26019798353090839</v>
      </c>
      <c r="I24" s="213">
        <v>30</v>
      </c>
      <c r="J24" s="213">
        <v>2E-3</v>
      </c>
      <c r="K24" s="214">
        <v>927408</v>
      </c>
      <c r="L24" s="213">
        <v>6.4000000000000001E-2</v>
      </c>
      <c r="M24" s="215">
        <v>19791.03859375</v>
      </c>
      <c r="N24" s="215">
        <v>17599.568933767699</v>
      </c>
      <c r="O24" s="212">
        <v>4.8679334590213683E-3</v>
      </c>
      <c r="P24" s="216"/>
      <c r="Q24" s="217">
        <f t="shared" si="0"/>
        <v>0.32500000000000001</v>
      </c>
      <c r="R24" s="217">
        <v>0.67586608607034215</v>
      </c>
    </row>
    <row r="25" spans="2:18" ht="20.100000000000001" customHeight="1" thickBot="1">
      <c r="B25" s="234" t="s">
        <v>169</v>
      </c>
      <c r="C25" s="235"/>
      <c r="D25" s="236" t="s">
        <v>224</v>
      </c>
      <c r="E25" s="236" t="s">
        <v>207</v>
      </c>
      <c r="F25" s="237" t="s">
        <v>156</v>
      </c>
      <c r="G25" s="238" t="s">
        <v>208</v>
      </c>
      <c r="H25" s="239">
        <v>0.58423954516980703</v>
      </c>
      <c r="I25" s="240">
        <v>12.147264359999999</v>
      </c>
      <c r="J25" s="240">
        <v>0.40600000000000003</v>
      </c>
      <c r="K25" s="241">
        <v>10000</v>
      </c>
      <c r="L25" s="240">
        <v>157.547</v>
      </c>
      <c r="M25" s="242">
        <v>2573.6648963801281</v>
      </c>
      <c r="N25" s="242">
        <v>500</v>
      </c>
      <c r="O25" s="239">
        <v>0.69401872362499994</v>
      </c>
      <c r="P25" s="243"/>
      <c r="Q25" s="244">
        <f t="shared" si="0"/>
        <v>0.27500000000000002</v>
      </c>
      <c r="R25" s="244">
        <v>0.72563160366197166</v>
      </c>
    </row>
    <row r="26" spans="2:18" ht="20.100000000000001" customHeight="1">
      <c r="B26" s="361" t="s">
        <v>225</v>
      </c>
      <c r="C26" s="245" t="s">
        <v>226</v>
      </c>
      <c r="D26" s="190"/>
      <c r="E26" s="190"/>
      <c r="F26" s="191" t="s">
        <v>227</v>
      </c>
      <c r="G26" s="192" t="s">
        <v>208</v>
      </c>
      <c r="H26" s="222"/>
      <c r="I26" s="222"/>
      <c r="J26" s="222"/>
      <c r="K26" s="222"/>
      <c r="L26" s="222"/>
      <c r="M26" s="222"/>
      <c r="N26" s="222"/>
      <c r="O26" s="246">
        <v>12.412372940920505</v>
      </c>
      <c r="P26" s="196"/>
      <c r="Q26" s="197">
        <f t="shared" si="0"/>
        <v>0.34</v>
      </c>
      <c r="R26" s="197">
        <v>0.66</v>
      </c>
    </row>
    <row r="27" spans="2:18" ht="20.100000000000001" customHeight="1" thickBot="1">
      <c r="B27" s="362"/>
      <c r="C27" s="247" t="s">
        <v>228</v>
      </c>
      <c r="D27" s="209"/>
      <c r="E27" s="209"/>
      <c r="F27" s="210" t="s">
        <v>227</v>
      </c>
      <c r="G27" s="220" t="s">
        <v>208</v>
      </c>
      <c r="H27" s="214"/>
      <c r="I27" s="214"/>
      <c r="J27" s="214"/>
      <c r="K27" s="214"/>
      <c r="L27" s="214"/>
      <c r="M27" s="214"/>
      <c r="N27" s="214"/>
      <c r="O27" s="212">
        <v>40.356662228624941</v>
      </c>
      <c r="P27" s="216"/>
      <c r="Q27" s="217">
        <f t="shared" si="0"/>
        <v>0.2</v>
      </c>
      <c r="R27" s="217">
        <v>0.8</v>
      </c>
    </row>
    <row r="28" spans="2:18" ht="20.100000000000001" customHeight="1">
      <c r="B28" s="361" t="s">
        <v>229</v>
      </c>
      <c r="C28" s="358" t="s">
        <v>205</v>
      </c>
      <c r="D28" s="190"/>
      <c r="E28" s="190"/>
      <c r="F28" s="191" t="s">
        <v>157</v>
      </c>
      <c r="G28" s="192" t="s">
        <v>208</v>
      </c>
      <c r="H28" s="222"/>
      <c r="I28" s="222"/>
      <c r="J28" s="222"/>
      <c r="K28" s="222"/>
      <c r="L28" s="222"/>
      <c r="M28" s="222"/>
      <c r="N28" s="222"/>
      <c r="O28" s="193">
        <v>0.44616946569999993</v>
      </c>
      <c r="P28" s="196"/>
      <c r="Q28" s="197">
        <f t="shared" si="0"/>
        <v>0.25700000000000001</v>
      </c>
      <c r="R28" s="197">
        <v>0.74358974358974361</v>
      </c>
    </row>
    <row r="29" spans="2:18" ht="20.100000000000001" customHeight="1">
      <c r="B29" s="363"/>
      <c r="C29" s="364"/>
      <c r="D29" s="198"/>
      <c r="E29" s="198"/>
      <c r="F29" s="199" t="s">
        <v>155</v>
      </c>
      <c r="G29" s="200" t="s">
        <v>208</v>
      </c>
      <c r="H29" s="224"/>
      <c r="I29" s="224"/>
      <c r="J29" s="224"/>
      <c r="K29" s="224"/>
      <c r="L29" s="224"/>
      <c r="M29" s="224"/>
      <c r="N29" s="224"/>
      <c r="O29" s="248">
        <v>0.15255000000000002</v>
      </c>
      <c r="P29" s="204"/>
      <c r="Q29" s="205">
        <f t="shared" si="0"/>
        <v>0</v>
      </c>
      <c r="R29" s="205">
        <v>1</v>
      </c>
    </row>
    <row r="30" spans="2:18" ht="20.100000000000001" customHeight="1">
      <c r="B30" s="363"/>
      <c r="C30" s="365" t="s">
        <v>230</v>
      </c>
      <c r="D30" s="198"/>
      <c r="E30" s="198"/>
      <c r="F30" s="199" t="s">
        <v>157</v>
      </c>
      <c r="G30" s="200" t="s">
        <v>208</v>
      </c>
      <c r="H30" s="224"/>
      <c r="I30" s="224"/>
      <c r="J30" s="224"/>
      <c r="K30" s="224"/>
      <c r="L30" s="201"/>
      <c r="M30" s="224"/>
      <c r="N30" s="224"/>
      <c r="O30" s="248">
        <v>1.7543150685</v>
      </c>
      <c r="P30" s="204"/>
      <c r="Q30" s="205">
        <f t="shared" si="0"/>
        <v>0.25700000000000001</v>
      </c>
      <c r="R30" s="205">
        <v>0.74358974358974361</v>
      </c>
    </row>
    <row r="31" spans="2:18" ht="20.100000000000001" customHeight="1" thickBot="1">
      <c r="B31" s="362"/>
      <c r="C31" s="360"/>
      <c r="D31" s="209"/>
      <c r="E31" s="209"/>
      <c r="F31" s="210" t="s">
        <v>155</v>
      </c>
      <c r="G31" s="220" t="s">
        <v>208</v>
      </c>
      <c r="H31" s="214"/>
      <c r="I31" s="214"/>
      <c r="J31" s="214"/>
      <c r="K31" s="214"/>
      <c r="L31" s="214"/>
      <c r="M31" s="214"/>
      <c r="N31" s="214"/>
      <c r="O31" s="249">
        <v>9.8391999999999993E-2</v>
      </c>
      <c r="P31" s="216"/>
      <c r="Q31" s="217">
        <f t="shared" si="0"/>
        <v>0.25700000000000001</v>
      </c>
      <c r="R31" s="217">
        <v>0.74358974358974361</v>
      </c>
    </row>
    <row r="32" spans="2:18" ht="20.100000000000001" customHeight="1" thickBot="1">
      <c r="B32" s="361" t="s">
        <v>167</v>
      </c>
      <c r="C32" s="245" t="s">
        <v>226</v>
      </c>
      <c r="D32" s="190"/>
      <c r="E32" s="190"/>
      <c r="F32" s="191" t="s">
        <v>158</v>
      </c>
      <c r="G32" s="192" t="s">
        <v>208</v>
      </c>
      <c r="H32" s="222"/>
      <c r="I32" s="222"/>
      <c r="J32" s="222"/>
      <c r="K32" s="222"/>
      <c r="L32" s="222"/>
      <c r="M32" s="222"/>
      <c r="N32" s="222"/>
      <c r="O32" s="193">
        <v>5.8600261216429228</v>
      </c>
      <c r="P32" s="196"/>
      <c r="Q32" s="270">
        <f t="shared" si="0"/>
        <v>0.66400000000000003</v>
      </c>
      <c r="R32" s="273">
        <v>0.33600000000000002</v>
      </c>
    </row>
    <row r="33" spans="2:18" ht="20.100000000000001" customHeight="1" thickBot="1">
      <c r="B33" s="362"/>
      <c r="C33" s="247" t="s">
        <v>231</v>
      </c>
      <c r="D33" s="209"/>
      <c r="E33" s="209"/>
      <c r="F33" s="210" t="s">
        <v>158</v>
      </c>
      <c r="G33" s="220" t="s">
        <v>208</v>
      </c>
      <c r="H33" s="214"/>
      <c r="I33" s="214"/>
      <c r="J33" s="214"/>
      <c r="K33" s="214"/>
      <c r="L33" s="214"/>
      <c r="M33" s="214"/>
      <c r="N33" s="214"/>
      <c r="O33" s="249">
        <v>14.036419966932959</v>
      </c>
      <c r="P33" s="216"/>
      <c r="Q33" s="250">
        <f t="shared" si="0"/>
        <v>0.218</v>
      </c>
      <c r="R33" s="274">
        <v>0.78200000000000003</v>
      </c>
    </row>
    <row r="34" spans="2:18">
      <c r="G34" s="251"/>
    </row>
  </sheetData>
  <mergeCells count="12">
    <mergeCell ref="B26:B27"/>
    <mergeCell ref="B28:B31"/>
    <mergeCell ref="C28:C29"/>
    <mergeCell ref="C30:C31"/>
    <mergeCell ref="B32:B33"/>
    <mergeCell ref="B22:B24"/>
    <mergeCell ref="C22:C24"/>
    <mergeCell ref="B5:B17"/>
    <mergeCell ref="C5:C12"/>
    <mergeCell ref="C13:C17"/>
    <mergeCell ref="B18:B21"/>
    <mergeCell ref="C18:C20"/>
  </mergeCells>
  <pageMargins left="0.7" right="0.7" top="0.75" bottom="0.75" header="0.3" footer="0.3"/>
  <pageSetup paperSize="8" scale="7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tabSelected="1" workbookViewId="0">
      <pane xSplit="4" ySplit="4" topLeftCell="H5" activePane="bottomRight" state="frozen"/>
      <selection pane="topRight" activeCell="E1" sqref="E1"/>
      <selection pane="bottomLeft" activeCell="A5" sqref="A5"/>
      <selection pane="bottomRight" activeCell="M39" sqref="M39"/>
    </sheetView>
  </sheetViews>
  <sheetFormatPr defaultRowHeight="12.75"/>
  <cols>
    <col min="1" max="1" width="9.140625" style="59"/>
    <col min="2" max="2" width="24.28515625" style="59" customWidth="1"/>
    <col min="3" max="3" width="19.7109375" style="59" customWidth="1"/>
    <col min="4" max="6" width="17.5703125" style="62" customWidth="1"/>
    <col min="7" max="8" width="27.28515625" style="62" customWidth="1"/>
    <col min="9" max="9" width="17.7109375" style="59" customWidth="1"/>
    <col min="10" max="10" width="15.28515625" style="59" customWidth="1"/>
    <col min="11" max="11" width="11.42578125" style="59" customWidth="1"/>
    <col min="12" max="12" width="10.85546875" style="59" customWidth="1"/>
    <col min="13" max="13" width="9.5703125" style="59" bestFit="1" customWidth="1"/>
    <col min="14" max="14" width="12.7109375" style="59" customWidth="1"/>
    <col min="15" max="15" width="16.7109375" style="59" customWidth="1"/>
    <col min="16" max="16" width="11.42578125" style="59" customWidth="1"/>
    <col min="17" max="17" width="16.28515625" style="59" customWidth="1"/>
    <col min="18" max="18" width="17.85546875" style="59" customWidth="1"/>
    <col min="19" max="19" width="15.42578125" style="59" customWidth="1"/>
    <col min="20" max="20" width="9.140625" style="59"/>
    <col min="21" max="21" width="13.140625" style="59" customWidth="1"/>
    <col min="22" max="22" width="25.85546875" style="59" customWidth="1"/>
    <col min="23" max="16384" width="9.140625" style="59"/>
  </cols>
  <sheetData>
    <row r="1" spans="1:20">
      <c r="A1" s="59" t="s">
        <v>240</v>
      </c>
      <c r="B1" s="59" t="s">
        <v>241</v>
      </c>
      <c r="L1" s="63"/>
      <c r="M1" s="59">
        <v>1000</v>
      </c>
    </row>
    <row r="2" spans="1:20" ht="15">
      <c r="A2" s="59" t="s">
        <v>242</v>
      </c>
      <c r="J2" s="64" t="str">
        <f>'[7]VFEM Pivot'!D2</f>
        <v>2018 Data</v>
      </c>
      <c r="K2" s="65"/>
      <c r="L2" s="66"/>
      <c r="M2" s="65"/>
      <c r="N2" s="65"/>
      <c r="O2" s="65"/>
      <c r="P2" s="65"/>
      <c r="Q2" s="65"/>
      <c r="R2" s="65"/>
    </row>
    <row r="3" spans="1:20" ht="13.5" thickBot="1">
      <c r="S3" s="61"/>
    </row>
    <row r="4" spans="1:20" ht="15.75" thickBot="1">
      <c r="B4" s="67" t="s">
        <v>189</v>
      </c>
      <c r="C4" s="68" t="s">
        <v>190</v>
      </c>
      <c r="D4" s="69" t="s">
        <v>191</v>
      </c>
      <c r="E4" s="69" t="s">
        <v>192</v>
      </c>
      <c r="F4" s="127" t="s">
        <v>243</v>
      </c>
      <c r="G4" s="70" t="s">
        <v>193</v>
      </c>
      <c r="H4" s="127" t="s">
        <v>244</v>
      </c>
      <c r="I4" s="71" t="s">
        <v>194</v>
      </c>
      <c r="J4" s="72" t="s">
        <v>103</v>
      </c>
      <c r="K4" s="72" t="s">
        <v>195</v>
      </c>
      <c r="L4" s="72" t="s">
        <v>196</v>
      </c>
      <c r="M4" s="72" t="s">
        <v>197</v>
      </c>
      <c r="N4" s="72" t="s">
        <v>198</v>
      </c>
      <c r="O4" s="72" t="s">
        <v>199</v>
      </c>
      <c r="P4" s="72" t="s">
        <v>200</v>
      </c>
      <c r="Q4" s="72" t="s">
        <v>201</v>
      </c>
      <c r="R4" s="73" t="s">
        <v>202</v>
      </c>
      <c r="S4" s="74" t="s">
        <v>277</v>
      </c>
      <c r="T4" s="74" t="s">
        <v>203</v>
      </c>
    </row>
    <row r="5" spans="1:20" ht="13.5" thickBot="1">
      <c r="B5" s="372" t="s">
        <v>204</v>
      </c>
      <c r="C5" s="369" t="s">
        <v>205</v>
      </c>
      <c r="D5" s="75" t="s">
        <v>206</v>
      </c>
      <c r="E5" s="75" t="s">
        <v>207</v>
      </c>
      <c r="F5" s="102" t="s">
        <v>207</v>
      </c>
      <c r="G5" s="76" t="s">
        <v>156</v>
      </c>
      <c r="H5" s="76" t="s">
        <v>234</v>
      </c>
      <c r="I5" s="77" t="s">
        <v>208</v>
      </c>
      <c r="J5" s="78">
        <f>[7]Outputs!H5</f>
        <v>0.29574226589403763</v>
      </c>
      <c r="K5" s="78">
        <f>[7]Outputs!I5</f>
        <v>18.893708932999999</v>
      </c>
      <c r="L5" s="79">
        <f>ROUNDUP([7]Outputs!J5,3)</f>
        <v>31.679000000000002</v>
      </c>
      <c r="M5" s="80">
        <f>(([7]Outputs!K5)/1)/1000</f>
        <v>33.857253063779488</v>
      </c>
      <c r="N5" s="79">
        <f>([7]Outputs!L5)*1000</f>
        <v>2975.5793199999998</v>
      </c>
      <c r="O5" s="80">
        <f>[7]Outputs!M5</f>
        <v>10646.074081392662</v>
      </c>
      <c r="P5" s="80">
        <f>([7]Outputs!N5)/1000</f>
        <v>1.3836761070950265</v>
      </c>
      <c r="Q5" s="78">
        <f>[7]Outputs!O5</f>
        <v>107.11434086032901</v>
      </c>
      <c r="R5" s="123"/>
      <c r="S5" s="81">
        <f>1-T5</f>
        <v>0.25866952762433204</v>
      </c>
      <c r="T5" s="269">
        <v>0.74133047237566796</v>
      </c>
    </row>
    <row r="6" spans="1:20" ht="13.5" thickBot="1">
      <c r="B6" s="367"/>
      <c r="C6" s="370"/>
      <c r="D6" s="75" t="s">
        <v>206</v>
      </c>
      <c r="E6" s="82" t="s">
        <v>207</v>
      </c>
      <c r="F6" s="103" t="s">
        <v>207</v>
      </c>
      <c r="G6" s="83" t="s">
        <v>157</v>
      </c>
      <c r="H6" s="83" t="s">
        <v>235</v>
      </c>
      <c r="I6" s="84" t="s">
        <v>208</v>
      </c>
      <c r="J6" s="85">
        <f>[7]Outputs!H6</f>
        <v>0.27102281432564018</v>
      </c>
      <c r="K6" s="85">
        <f>[7]Outputs!I6</f>
        <v>19.957648846000001</v>
      </c>
      <c r="L6" s="86">
        <f>ROUNDUP([7]Outputs!J6,3)</f>
        <v>3.7709999999999999</v>
      </c>
      <c r="M6" s="87">
        <f>(([7]Outputs!K6)/1)/1000</f>
        <v>40.982161028207202</v>
      </c>
      <c r="N6" s="86">
        <f>([7]Outputs!L6)*1000</f>
        <v>283.06308000000001</v>
      </c>
      <c r="O6" s="87">
        <f>[7]Outputs!M6</f>
        <v>13321.218756893339</v>
      </c>
      <c r="P6" s="87">
        <f>([7]Outputs!N6)/1000</f>
        <v>1.3430866666666668</v>
      </c>
      <c r="Q6" s="85">
        <f>[7]Outputs!O6</f>
        <v>13.913017692117103</v>
      </c>
      <c r="R6" s="124"/>
      <c r="S6" s="88">
        <f t="shared" ref="S6:S34" si="0">1-T6</f>
        <v>0.25866952762433204</v>
      </c>
      <c r="T6" s="269">
        <v>0.74133047237566796</v>
      </c>
    </row>
    <row r="7" spans="1:20" ht="13.5" thickBot="1">
      <c r="B7" s="367"/>
      <c r="C7" s="370"/>
      <c r="D7" s="75" t="s">
        <v>206</v>
      </c>
      <c r="E7" s="82" t="s">
        <v>209</v>
      </c>
      <c r="F7" s="103" t="s">
        <v>209</v>
      </c>
      <c r="G7" s="83" t="s">
        <v>155</v>
      </c>
      <c r="H7" s="83" t="s">
        <v>236</v>
      </c>
      <c r="I7" s="84" t="s">
        <v>208</v>
      </c>
      <c r="J7" s="85">
        <f>[7]Outputs!H7</f>
        <v>1.4079922210878586</v>
      </c>
      <c r="K7" s="85">
        <f>[7]Outputs!I7</f>
        <v>18.893708932999999</v>
      </c>
      <c r="L7" s="86">
        <f>ROUNDUP([7]Outputs!J7,3)</f>
        <v>6.5000000000000002E-2</v>
      </c>
      <c r="M7" s="87">
        <f>(([7]Outputs!K7)/1)/1000</f>
        <v>56.434273897483351</v>
      </c>
      <c r="N7" s="86">
        <f>([7]Outputs!L7)*1000</f>
        <v>8.4618599999999997</v>
      </c>
      <c r="O7" s="87">
        <f>[7]Outputs!M7</f>
        <v>7638.6716431139248</v>
      </c>
      <c r="P7" s="87">
        <f>([7]Outputs!N7)/1000</f>
        <v>1.3469862952194624</v>
      </c>
      <c r="Q7" s="85">
        <f>[7]Outputs!O7</f>
        <v>4.5907476662093459E-2</v>
      </c>
      <c r="R7" s="124"/>
      <c r="S7" s="88">
        <f t="shared" si="0"/>
        <v>0.25866952762433204</v>
      </c>
      <c r="T7" s="269">
        <v>0.74133047237566796</v>
      </c>
    </row>
    <row r="8" spans="1:20" ht="13.5" thickBot="1">
      <c r="B8" s="367"/>
      <c r="C8" s="370"/>
      <c r="D8" s="75" t="s">
        <v>206</v>
      </c>
      <c r="E8" s="82" t="s">
        <v>210</v>
      </c>
      <c r="F8" s="103" t="s">
        <v>209</v>
      </c>
      <c r="G8" s="83" t="s">
        <v>155</v>
      </c>
      <c r="H8" s="83" t="s">
        <v>237</v>
      </c>
      <c r="I8" s="84" t="s">
        <v>208</v>
      </c>
      <c r="J8" s="85">
        <f>[7]Outputs!H8</f>
        <v>1.4079922210878586</v>
      </c>
      <c r="K8" s="85">
        <f>[7]Outputs!I8</f>
        <v>13.893708932999999</v>
      </c>
      <c r="L8" s="86">
        <f>ROUNDUP([7]Outputs!J8,3)</f>
        <v>0</v>
      </c>
      <c r="M8" s="87">
        <f>(([7]Outputs!K8)/1)/1000</f>
        <v>25.285083214393978</v>
      </c>
      <c r="N8" s="86">
        <f>([7]Outputs!L8)*1000</f>
        <v>0</v>
      </c>
      <c r="O8" s="87">
        <f>[7]Outputs!M8</f>
        <v>7638.6716431139248</v>
      </c>
      <c r="P8" s="87">
        <f>([7]Outputs!N8)/1000</f>
        <v>1.6192717698146617</v>
      </c>
      <c r="Q8" s="85">
        <f>[7]Outputs!O8</f>
        <v>0</v>
      </c>
      <c r="R8" s="124"/>
      <c r="S8" s="88">
        <f t="shared" si="0"/>
        <v>0.25866952762433204</v>
      </c>
      <c r="T8" s="269">
        <v>0.74133047237566796</v>
      </c>
    </row>
    <row r="9" spans="1:20" ht="13.5" thickBot="1">
      <c r="B9" s="367"/>
      <c r="C9" s="370"/>
      <c r="D9" s="75" t="s">
        <v>206</v>
      </c>
      <c r="E9" s="82" t="s">
        <v>207</v>
      </c>
      <c r="F9" s="103" t="s">
        <v>207</v>
      </c>
      <c r="G9" s="83" t="s">
        <v>133</v>
      </c>
      <c r="H9" s="83" t="s">
        <v>133</v>
      </c>
      <c r="I9" s="84" t="s">
        <v>211</v>
      </c>
      <c r="J9" s="85">
        <f>[7]Outputs!H9</f>
        <v>0.3145699154482855</v>
      </c>
      <c r="K9" s="85">
        <f>[7]Outputs!I9</f>
        <v>18.893708932999999</v>
      </c>
      <c r="L9" s="86">
        <f>ROUNDUP([7]Outputs!J9,3)</f>
        <v>1.8000000000000002E-2</v>
      </c>
      <c r="M9" s="87">
        <f>(([7]Outputs!K9)/1)/1000</f>
        <v>36.679454380806774</v>
      </c>
      <c r="N9" s="86">
        <f>([7]Outputs!L9)*1000</f>
        <v>0.94355999999999995</v>
      </c>
      <c r="O9" s="87">
        <f>[7]Outputs!M9</f>
        <v>18696.81712874645</v>
      </c>
      <c r="P9" s="87">
        <f>([7]Outputs!N9)/1000</f>
        <v>1.3836761070950265</v>
      </c>
      <c r="Q9" s="85">
        <f>[7]Outputs!O9</f>
        <v>5.6081551043619199E-2</v>
      </c>
      <c r="R9" s="124"/>
      <c r="S9" s="88">
        <f t="shared" si="0"/>
        <v>0.25866952762433204</v>
      </c>
      <c r="T9" s="269">
        <v>0.74133047237566796</v>
      </c>
    </row>
    <row r="10" spans="1:20" ht="13.5" thickBot="1">
      <c r="B10" s="367"/>
      <c r="C10" s="370"/>
      <c r="D10" s="75" t="s">
        <v>206</v>
      </c>
      <c r="E10" s="82" t="s">
        <v>212</v>
      </c>
      <c r="F10" s="103" t="s">
        <v>233</v>
      </c>
      <c r="G10" s="83" t="s">
        <v>156</v>
      </c>
      <c r="H10" s="83" t="s">
        <v>234</v>
      </c>
      <c r="I10" s="84" t="s">
        <v>211</v>
      </c>
      <c r="J10" s="85">
        <f>[7]Outputs!H10</f>
        <v>0.40973965605281193</v>
      </c>
      <c r="K10" s="85">
        <f>[7]Outputs!I10</f>
        <v>18.893708932999999</v>
      </c>
      <c r="L10" s="86">
        <f>ROUNDUP([7]Outputs!J10,3)</f>
        <v>0.47</v>
      </c>
      <c r="M10" s="87">
        <f>(([7]Outputs!K10)/1)/1000</f>
        <v>38.4943273070229</v>
      </c>
      <c r="N10" s="86">
        <f>([7]Outputs!L10)*1000</f>
        <v>30.96611</v>
      </c>
      <c r="O10" s="87">
        <f>[7]Outputs!M10</f>
        <v>15168.599356199406</v>
      </c>
      <c r="P10" s="87">
        <f>([7]Outputs!N10)/1000</f>
        <v>1.1330287043611558</v>
      </c>
      <c r="Q10" s="85">
        <f>[7]Outputs!O10</f>
        <v>1.1463682103287998</v>
      </c>
      <c r="R10" s="124"/>
      <c r="S10" s="88">
        <f t="shared" si="0"/>
        <v>0.25866952762433204</v>
      </c>
      <c r="T10" s="269">
        <v>0.74133047237566796</v>
      </c>
    </row>
    <row r="11" spans="1:20" ht="13.5" thickBot="1">
      <c r="B11" s="367"/>
      <c r="C11" s="370"/>
      <c r="D11" s="75" t="s">
        <v>206</v>
      </c>
      <c r="E11" s="89" t="s">
        <v>213</v>
      </c>
      <c r="F11" s="128" t="s">
        <v>213</v>
      </c>
      <c r="G11" s="83" t="s">
        <v>156</v>
      </c>
      <c r="H11" s="129" t="s">
        <v>234</v>
      </c>
      <c r="I11" s="90" t="s">
        <v>211</v>
      </c>
      <c r="J11" s="85">
        <f>[7]Outputs!H11</f>
        <v>0.5642532734319301</v>
      </c>
      <c r="K11" s="85">
        <f>[7]Outputs!I11</f>
        <v>18.893708932999999</v>
      </c>
      <c r="L11" s="86">
        <f>ROUNDUP([7]Outputs!J11,3)</f>
        <v>3.0000000000000002E-2</v>
      </c>
      <c r="M11" s="87">
        <f>(([7]Outputs!K11)/1)/1000</f>
        <v>51.909674036494785</v>
      </c>
      <c r="N11" s="86">
        <f>([7]Outputs!L11)*1000</f>
        <v>2.6780299999999997</v>
      </c>
      <c r="O11" s="87">
        <f>[7]Outputs!M11</f>
        <v>11101.838511891205</v>
      </c>
      <c r="P11" s="87">
        <f>([7]Outputs!N11)/1000</f>
        <v>1.2151329648648723</v>
      </c>
      <c r="Q11" s="85">
        <f>[7]Outputs!O11</f>
        <v>5.2690977598000004E-2</v>
      </c>
      <c r="R11" s="88">
        <f>[7]Outputs!P11</f>
        <v>0.6</v>
      </c>
      <c r="S11" s="88">
        <f t="shared" si="0"/>
        <v>0.25866952762433204</v>
      </c>
      <c r="T11" s="269">
        <v>0.74133047237566796</v>
      </c>
    </row>
    <row r="12" spans="1:20" ht="13.5" thickBot="1">
      <c r="B12" s="367"/>
      <c r="C12" s="371"/>
      <c r="D12" s="91" t="s">
        <v>206</v>
      </c>
      <c r="E12" s="92" t="s">
        <v>213</v>
      </c>
      <c r="F12" s="104" t="s">
        <v>213</v>
      </c>
      <c r="G12" s="93" t="s">
        <v>155</v>
      </c>
      <c r="H12" s="93"/>
      <c r="I12" s="94" t="s">
        <v>211</v>
      </c>
      <c r="J12" s="95">
        <f>[7]Outputs!H12</f>
        <v>1.0333422104936427</v>
      </c>
      <c r="K12" s="95">
        <f>[7]Outputs!I12</f>
        <v>18.893708932999999</v>
      </c>
      <c r="L12" s="96">
        <f>ROUNDUP([7]Outputs!J12,3)</f>
        <v>0</v>
      </c>
      <c r="M12" s="95">
        <f>(([7]Outputs!K12)/1)/1000</f>
        <v>0</v>
      </c>
      <c r="N12" s="96">
        <f>([7]Outputs!L12)*1000</f>
        <v>0</v>
      </c>
      <c r="O12" s="97">
        <f>[7]Outputs!M12</f>
        <v>0</v>
      </c>
      <c r="P12" s="97">
        <f>([7]Outputs!N12)/1000</f>
        <v>0</v>
      </c>
      <c r="Q12" s="95">
        <f>[7]Outputs!O12</f>
        <v>0</v>
      </c>
      <c r="R12" s="125"/>
      <c r="S12" s="98">
        <f t="shared" si="0"/>
        <v>0.25866952762433204</v>
      </c>
      <c r="T12" s="269">
        <v>0.74133047237566796</v>
      </c>
    </row>
    <row r="13" spans="1:20">
      <c r="B13" s="367"/>
      <c r="C13" s="369" t="s">
        <v>214</v>
      </c>
      <c r="D13" s="75" t="s">
        <v>215</v>
      </c>
      <c r="E13" s="75" t="s">
        <v>207</v>
      </c>
      <c r="F13" s="102" t="s">
        <v>207</v>
      </c>
      <c r="G13" s="76" t="s">
        <v>156</v>
      </c>
      <c r="H13" s="76" t="s">
        <v>234</v>
      </c>
      <c r="I13" s="77" t="s">
        <v>208</v>
      </c>
      <c r="J13" s="78">
        <f>[7]Outputs!H13</f>
        <v>0.22446549570454616</v>
      </c>
      <c r="K13" s="78">
        <f>[7]Outputs!I13</f>
        <v>22.051404092999999</v>
      </c>
      <c r="L13" s="79">
        <f>ROUNDUP([7]Outputs!J13,3)</f>
        <v>1.5299999999999998</v>
      </c>
      <c r="M13" s="80">
        <f>(([7]Outputs!K13)/1)/1000</f>
        <v>33.896666666666661</v>
      </c>
      <c r="N13" s="79">
        <f>([7]Outputs!L13)*1000</f>
        <v>154.07906</v>
      </c>
      <c r="O13" s="80">
        <f>[7]Outputs!M13</f>
        <v>9928.1904973329929</v>
      </c>
      <c r="P13" s="80">
        <f>([7]Outputs!N13)/1000</f>
        <v>1.3430866666666668</v>
      </c>
      <c r="Q13" s="78">
        <f>[7]Outputs!O13</f>
        <v>6.8149728515223993</v>
      </c>
      <c r="R13" s="123"/>
      <c r="S13" s="81">
        <f t="shared" si="0"/>
        <v>0.29420033050816774</v>
      </c>
      <c r="T13" s="269">
        <v>0.70579966949183226</v>
      </c>
    </row>
    <row r="14" spans="1:20">
      <c r="B14" s="367"/>
      <c r="C14" s="370"/>
      <c r="D14" s="82" t="s">
        <v>215</v>
      </c>
      <c r="E14" s="82" t="s">
        <v>207</v>
      </c>
      <c r="F14" s="82" t="s">
        <v>207</v>
      </c>
      <c r="G14" s="99" t="s">
        <v>157</v>
      </c>
      <c r="H14" s="83" t="s">
        <v>235</v>
      </c>
      <c r="I14" s="84" t="s">
        <v>208</v>
      </c>
      <c r="J14" s="85">
        <f>[7]Outputs!H14</f>
        <v>0.24232912878138677</v>
      </c>
      <c r="K14" s="85">
        <f>[7]Outputs!I14</f>
        <v>15.784552846</v>
      </c>
      <c r="L14" s="86">
        <f>ROUNDUP([7]Outputs!J14,3)</f>
        <v>7.4610000000000003</v>
      </c>
      <c r="M14" s="87">
        <f>(([7]Outputs!K14)/1)/1000</f>
        <v>50.400339083480681</v>
      </c>
      <c r="N14" s="86">
        <f>([7]Outputs!L14)*1000</f>
        <v>459.72533000000004</v>
      </c>
      <c r="O14" s="87">
        <f>[7]Outputs!M14</f>
        <v>16227.64354737643</v>
      </c>
      <c r="P14" s="87">
        <f>([7]Outputs!N14)/1000</f>
        <v>1.5396112737265695</v>
      </c>
      <c r="Q14" s="85">
        <f>[7]Outputs!O14</f>
        <v>30.785646044517208</v>
      </c>
      <c r="R14" s="124"/>
      <c r="S14" s="88">
        <f t="shared" si="0"/>
        <v>0.29420033050816774</v>
      </c>
      <c r="T14" s="269">
        <v>0.70579966949183226</v>
      </c>
    </row>
    <row r="15" spans="1:20">
      <c r="B15" s="373"/>
      <c r="C15" s="374"/>
      <c r="D15" s="82" t="s">
        <v>215</v>
      </c>
      <c r="E15" s="82" t="s">
        <v>209</v>
      </c>
      <c r="F15" s="82" t="s">
        <v>209</v>
      </c>
      <c r="G15" s="99" t="s">
        <v>155</v>
      </c>
      <c r="H15" s="83" t="s">
        <v>236</v>
      </c>
      <c r="I15" s="84" t="s">
        <v>208</v>
      </c>
      <c r="J15" s="85">
        <f>[7]Outputs!H15</f>
        <v>1.3286632211786189</v>
      </c>
      <c r="K15" s="85">
        <f>[7]Outputs!I15</f>
        <v>22.051404092999999</v>
      </c>
      <c r="L15" s="86">
        <f>ROUNDUP([7]Outputs!J15,3)</f>
        <v>9.0000000000000011E-3</v>
      </c>
      <c r="M15" s="87">
        <f>(([7]Outputs!K15)/1)/1000</f>
        <v>70.708695652173915</v>
      </c>
      <c r="N15" s="86">
        <f>([7]Outputs!L15)*1000</f>
        <v>0.78132000000000001</v>
      </c>
      <c r="O15" s="87">
        <f>[7]Outputs!M15</f>
        <v>10630.718463625659</v>
      </c>
      <c r="P15" s="87">
        <f>([7]Outputs!N15)/1000</f>
        <v>1.709806221731488</v>
      </c>
      <c r="Q15" s="85">
        <f>[7]Outputs!O15</f>
        <v>6.251390734389406E-3</v>
      </c>
      <c r="R15" s="124"/>
      <c r="S15" s="88">
        <f t="shared" si="0"/>
        <v>0.29420033050816774</v>
      </c>
      <c r="T15" s="269">
        <v>0.70579966949183226</v>
      </c>
    </row>
    <row r="16" spans="1:20">
      <c r="B16" s="373"/>
      <c r="C16" s="374"/>
      <c r="D16" s="82" t="s">
        <v>215</v>
      </c>
      <c r="E16" s="82" t="s">
        <v>207</v>
      </c>
      <c r="F16" s="82" t="s">
        <v>207</v>
      </c>
      <c r="G16" s="99" t="s">
        <v>133</v>
      </c>
      <c r="H16" s="83" t="s">
        <v>133</v>
      </c>
      <c r="I16" s="84" t="s">
        <v>211</v>
      </c>
      <c r="J16" s="85">
        <f>[7]Outputs!H16</f>
        <v>0.3145699154482855</v>
      </c>
      <c r="K16" s="85">
        <f>[7]Outputs!I16</f>
        <v>22.051404092999999</v>
      </c>
      <c r="L16" s="86">
        <f>ROUNDUP([7]Outputs!J16,3)</f>
        <v>4.0000000000000001E-3</v>
      </c>
      <c r="M16" s="87">
        <f>(([7]Outputs!K16)/1)/1000</f>
        <v>36.718867983693947</v>
      </c>
      <c r="N16" s="86">
        <f>([7]Outputs!L16)*1000</f>
        <v>0.31486000000000003</v>
      </c>
      <c r="O16" s="87">
        <f>[7]Outputs!M16</f>
        <v>10828.973607317539</v>
      </c>
      <c r="P16" s="87">
        <f>([7]Outputs!N16)/1000</f>
        <v>1.3430866666666668</v>
      </c>
      <c r="Q16" s="85">
        <f>[7]Outputs!O16</f>
        <v>1.083895967972987E-2</v>
      </c>
      <c r="R16" s="124"/>
      <c r="S16" s="88">
        <f t="shared" si="0"/>
        <v>0.29420033050816774</v>
      </c>
      <c r="T16" s="269">
        <v>0.70579966949183226</v>
      </c>
    </row>
    <row r="17" spans="2:20" ht="13.5" thickBot="1">
      <c r="B17" s="373"/>
      <c r="C17" s="371"/>
      <c r="D17" s="92" t="s">
        <v>215</v>
      </c>
      <c r="E17" s="92" t="s">
        <v>212</v>
      </c>
      <c r="F17" s="92" t="s">
        <v>233</v>
      </c>
      <c r="G17" s="100" t="s">
        <v>156</v>
      </c>
      <c r="H17" s="93" t="s">
        <v>234</v>
      </c>
      <c r="I17" s="101" t="s">
        <v>211</v>
      </c>
      <c r="J17" s="95">
        <f>[7]Outputs!H17</f>
        <v>0.32080057540766083</v>
      </c>
      <c r="K17" s="95">
        <f>[7]Outputs!I17</f>
        <v>22.051404092999999</v>
      </c>
      <c r="L17" s="96">
        <f>ROUNDUP([7]Outputs!J17,3)</f>
        <v>1E-3</v>
      </c>
      <c r="M17" s="97">
        <f>(([7]Outputs!K17)/1)/1000</f>
        <v>38.539138979341075</v>
      </c>
      <c r="N17" s="96">
        <f>([7]Outputs!L17)*1000</f>
        <v>1.0290000000000001E-2</v>
      </c>
      <c r="O17" s="97">
        <f>[7]Outputs!M17</f>
        <v>16907.714285714286</v>
      </c>
      <c r="P17" s="97">
        <f>([7]Outputs!N17)/1000</f>
        <v>1.0997918790206931</v>
      </c>
      <c r="Q17" s="95">
        <f>[7]Outputs!O17</f>
        <v>5.4233188260000009E-4</v>
      </c>
      <c r="R17" s="125"/>
      <c r="S17" s="98">
        <f t="shared" si="0"/>
        <v>0.29420033050816774</v>
      </c>
      <c r="T17" s="269">
        <v>0.70579966949183226</v>
      </c>
    </row>
    <row r="18" spans="2:20" ht="13.5" thickBot="1">
      <c r="B18" s="366" t="s">
        <v>216</v>
      </c>
      <c r="C18" s="369" t="s">
        <v>217</v>
      </c>
      <c r="D18" s="75" t="s">
        <v>218</v>
      </c>
      <c r="E18" s="75" t="s">
        <v>207</v>
      </c>
      <c r="F18" s="102" t="s">
        <v>207</v>
      </c>
      <c r="G18" s="102" t="s">
        <v>156</v>
      </c>
      <c r="H18" s="102" t="s">
        <v>234</v>
      </c>
      <c r="I18" s="77" t="s">
        <v>208</v>
      </c>
      <c r="J18" s="78">
        <f>[7]Outputs!H18</f>
        <v>0.13638221628825251</v>
      </c>
      <c r="K18" s="78">
        <f>[7]Outputs!I18</f>
        <v>34.774647887</v>
      </c>
      <c r="L18" s="79">
        <v>7.6544255399999999E-3</v>
      </c>
      <c r="M18" s="78">
        <v>100</v>
      </c>
      <c r="N18" s="79">
        <v>2.7080000000000002</v>
      </c>
      <c r="O18" s="338">
        <v>8479.7919571639595</v>
      </c>
      <c r="P18" s="80">
        <v>3.8</v>
      </c>
      <c r="Q18" s="336">
        <f t="shared" ref="Q18:Q21" si="1">L18/J18</f>
        <v>5.6124806799017574E-2</v>
      </c>
      <c r="R18" s="123"/>
      <c r="S18" s="81">
        <f t="shared" si="0"/>
        <v>0.29551795164883077</v>
      </c>
      <c r="T18" s="269">
        <v>0.70448204835116923</v>
      </c>
    </row>
    <row r="19" spans="2:20" ht="13.5" thickBot="1">
      <c r="B19" s="367"/>
      <c r="C19" s="370"/>
      <c r="D19" s="82" t="s">
        <v>218</v>
      </c>
      <c r="E19" s="82" t="s">
        <v>207</v>
      </c>
      <c r="F19" s="102" t="s">
        <v>207</v>
      </c>
      <c r="G19" s="103" t="s">
        <v>157</v>
      </c>
      <c r="H19" s="103" t="s">
        <v>235</v>
      </c>
      <c r="I19" s="84" t="s">
        <v>208</v>
      </c>
      <c r="J19" s="85">
        <f>[7]Outputs!H19</f>
        <v>0.13187233674282225</v>
      </c>
      <c r="K19" s="85">
        <f>[7]Outputs!I19</f>
        <v>21.981385162999999</v>
      </c>
      <c r="L19" s="86">
        <v>0.83454407725000002</v>
      </c>
      <c r="M19" s="85">
        <v>100</v>
      </c>
      <c r="N19" s="86">
        <v>79.08</v>
      </c>
      <c r="O19" s="338">
        <v>31659.486997344462</v>
      </c>
      <c r="P19" s="87">
        <v>3.8</v>
      </c>
      <c r="Q19" s="336">
        <f t="shared" si="1"/>
        <v>6.328424124898385</v>
      </c>
      <c r="R19" s="124"/>
      <c r="S19" s="88">
        <f t="shared" si="0"/>
        <v>0.29551795164883077</v>
      </c>
      <c r="T19" s="269">
        <v>0.70448204835116923</v>
      </c>
    </row>
    <row r="20" spans="2:20" ht="13.5" thickBot="1">
      <c r="B20" s="367"/>
      <c r="C20" s="371"/>
      <c r="D20" s="92" t="s">
        <v>218</v>
      </c>
      <c r="E20" s="92" t="s">
        <v>209</v>
      </c>
      <c r="F20" s="104" t="s">
        <v>209</v>
      </c>
      <c r="G20" s="104" t="s">
        <v>155</v>
      </c>
      <c r="H20" s="104" t="s">
        <v>236</v>
      </c>
      <c r="I20" s="101" t="s">
        <v>211</v>
      </c>
      <c r="J20" s="95">
        <f>[7]Outputs!H20</f>
        <v>0.60056169190323494</v>
      </c>
      <c r="K20" s="95">
        <f>[7]Outputs!I20</f>
        <v>21.981385162999999</v>
      </c>
      <c r="L20" s="96">
        <v>4.062377E-5</v>
      </c>
      <c r="M20" s="95">
        <v>391</v>
      </c>
      <c r="N20" s="96">
        <v>2.5999999999999999E-2</v>
      </c>
      <c r="O20" s="338">
        <v>4687.3580769230766</v>
      </c>
      <c r="P20" s="97">
        <v>3.5</v>
      </c>
      <c r="Q20" s="336">
        <f t="shared" si="1"/>
        <v>6.7642959162545911E-5</v>
      </c>
      <c r="R20" s="125"/>
      <c r="S20" s="98">
        <f t="shared" si="0"/>
        <v>0.29551795164883077</v>
      </c>
      <c r="T20" s="269">
        <v>0.70448204835116923</v>
      </c>
    </row>
    <row r="21" spans="2:20" ht="14.25" customHeight="1" thickBot="1">
      <c r="B21" s="368"/>
      <c r="C21" s="105" t="s">
        <v>331</v>
      </c>
      <c r="D21" s="91" t="s">
        <v>220</v>
      </c>
      <c r="E21" s="91" t="s">
        <v>207</v>
      </c>
      <c r="F21" s="102" t="s">
        <v>207</v>
      </c>
      <c r="G21" s="106" t="s">
        <v>157</v>
      </c>
      <c r="H21" s="106" t="s">
        <v>235</v>
      </c>
      <c r="I21" s="69" t="s">
        <v>208</v>
      </c>
      <c r="J21" s="336">
        <v>5.6500000000000002E-2</v>
      </c>
      <c r="K21" s="336">
        <f>[7]Outputs!I21</f>
        <v>21.981385162999999</v>
      </c>
      <c r="L21" s="337">
        <v>0.68453212409913244</v>
      </c>
      <c r="M21" s="336">
        <v>200</v>
      </c>
      <c r="N21" s="337">
        <v>59</v>
      </c>
      <c r="O21" s="338">
        <f>L21/(N21/1000000)</f>
        <v>11602.23939151072</v>
      </c>
      <c r="P21" s="114">
        <v>16.440000000000001</v>
      </c>
      <c r="Q21" s="336">
        <f t="shared" si="1"/>
        <v>12.115612815913849</v>
      </c>
      <c r="R21" s="339"/>
      <c r="S21" s="340">
        <f>1-T21</f>
        <v>0.29551795164883077</v>
      </c>
      <c r="T21" s="269">
        <v>0.70448204835116923</v>
      </c>
    </row>
    <row r="22" spans="2:20" ht="13.5" thickBot="1">
      <c r="B22" s="334"/>
      <c r="C22" s="333" t="s">
        <v>332</v>
      </c>
      <c r="D22" s="109" t="s">
        <v>333</v>
      </c>
      <c r="E22" s="109" t="s">
        <v>207</v>
      </c>
      <c r="F22" s="102" t="s">
        <v>207</v>
      </c>
      <c r="G22" s="110" t="s">
        <v>157</v>
      </c>
      <c r="H22" s="110" t="s">
        <v>235</v>
      </c>
      <c r="I22" s="335" t="s">
        <v>208</v>
      </c>
      <c r="J22" s="336">
        <v>4.7E-2</v>
      </c>
      <c r="K22" s="336">
        <f>K21</f>
        <v>21.981385162999999</v>
      </c>
      <c r="L22" s="337">
        <v>1.5379655004445401</v>
      </c>
      <c r="M22" s="341">
        <v>300</v>
      </c>
      <c r="N22" s="342">
        <v>13.2</v>
      </c>
      <c r="O22" s="338">
        <f>L22/(N22/1000000)</f>
        <v>116512.53791246517</v>
      </c>
      <c r="P22" s="351">
        <v>20</v>
      </c>
      <c r="Q22" s="336">
        <f>L22/J22</f>
        <v>32.722670222224259</v>
      </c>
      <c r="R22" s="343"/>
      <c r="S22" s="340">
        <f>1-T22</f>
        <v>0.29551795164883077</v>
      </c>
      <c r="T22" s="269">
        <v>0.70448204835116923</v>
      </c>
    </row>
    <row r="23" spans="2:20" ht="13.5" thickBot="1">
      <c r="B23" s="366" t="s">
        <v>221</v>
      </c>
      <c r="C23" s="369" t="s">
        <v>222</v>
      </c>
      <c r="D23" s="75" t="s">
        <v>223</v>
      </c>
      <c r="E23" s="75" t="s">
        <v>207</v>
      </c>
      <c r="F23" s="102" t="s">
        <v>207</v>
      </c>
      <c r="G23" s="76" t="s">
        <v>156</v>
      </c>
      <c r="H23" s="76" t="s">
        <v>234</v>
      </c>
      <c r="I23" s="77" t="s">
        <v>208</v>
      </c>
      <c r="J23" s="78">
        <f>[7]Outputs!H22</f>
        <v>0.10878530623606167</v>
      </c>
      <c r="K23" s="78">
        <f>[7]Outputs!I22</f>
        <v>31</v>
      </c>
      <c r="L23" s="86">
        <f>ROUNDUP([7]Outputs!J22,3)</f>
        <v>2E-3</v>
      </c>
      <c r="M23" s="78">
        <f>(([7]Outputs!K22)/1)/1000</f>
        <v>0</v>
      </c>
      <c r="N23" s="79">
        <f>([7]Outputs!L22)*1000</f>
        <v>0.15787000000000001</v>
      </c>
      <c r="O23" s="80">
        <f>[7]Outputs!M22</f>
        <v>6450.3937416861972</v>
      </c>
      <c r="P23" s="80">
        <f>([7]Outputs!N22)/1000</f>
        <v>18.74419950494234</v>
      </c>
      <c r="Q23" s="78">
        <f>[7]Outputs!O22</f>
        <v>9.3608566747999996E-3</v>
      </c>
      <c r="R23" s="123"/>
      <c r="S23" s="81">
        <f t="shared" si="0"/>
        <v>0.32435468707795845</v>
      </c>
      <c r="T23" s="269">
        <v>0.67564531292204155</v>
      </c>
    </row>
    <row r="24" spans="2:20">
      <c r="B24" s="367"/>
      <c r="C24" s="370"/>
      <c r="D24" s="82" t="s">
        <v>223</v>
      </c>
      <c r="E24" s="82" t="s">
        <v>207</v>
      </c>
      <c r="F24" s="102" t="s">
        <v>207</v>
      </c>
      <c r="G24" s="83" t="s">
        <v>157</v>
      </c>
      <c r="H24" s="83" t="s">
        <v>235</v>
      </c>
      <c r="I24" s="84" t="s">
        <v>208</v>
      </c>
      <c r="J24" s="85">
        <f>[7]Outputs!H23</f>
        <v>7.3200547754531456E-2</v>
      </c>
      <c r="K24" s="85">
        <f>[7]Outputs!I23</f>
        <v>26.248000000000001</v>
      </c>
      <c r="L24" s="86">
        <f>ROUNDUP([7]Outputs!J23,3)</f>
        <v>0.30599999999999999</v>
      </c>
      <c r="M24" s="85">
        <f>(([7]Outputs!K23)/1)/1000</f>
        <v>440</v>
      </c>
      <c r="N24" s="86">
        <f>([7]Outputs!L23)*1000</f>
        <v>10.997959999999999</v>
      </c>
      <c r="O24" s="87">
        <f>[7]Outputs!M23</f>
        <v>27792.509215345392</v>
      </c>
      <c r="P24" s="87">
        <f>([7]Outputs!N23)/1000</f>
        <v>18.74419950494234</v>
      </c>
      <c r="Q24" s="85">
        <f>[7]Outputs!O23</f>
        <v>4.1756641722817998</v>
      </c>
      <c r="R24" s="124"/>
      <c r="S24" s="88">
        <f t="shared" si="0"/>
        <v>0.32435468707795845</v>
      </c>
      <c r="T24" s="269">
        <v>0.67564531292204155</v>
      </c>
    </row>
    <row r="25" spans="2:20" ht="13.5" thickBot="1">
      <c r="B25" s="368"/>
      <c r="C25" s="371"/>
      <c r="D25" s="92" t="s">
        <v>223</v>
      </c>
      <c r="E25" s="92" t="s">
        <v>209</v>
      </c>
      <c r="F25" s="104" t="s">
        <v>209</v>
      </c>
      <c r="G25" s="93" t="s">
        <v>155</v>
      </c>
      <c r="H25" s="93" t="s">
        <v>236</v>
      </c>
      <c r="I25" s="101" t="s">
        <v>208</v>
      </c>
      <c r="J25" s="95">
        <f>[7]Outputs!H24</f>
        <v>0.26548125081615598</v>
      </c>
      <c r="K25" s="95">
        <f>[7]Outputs!I24</f>
        <v>30</v>
      </c>
      <c r="L25" s="96">
        <f>ROUNDUP([7]Outputs!J24,3)</f>
        <v>3.0000000000000001E-3</v>
      </c>
      <c r="M25" s="95">
        <f>(([7]Outputs!K24)/1)/1000</f>
        <v>927.40800000000002</v>
      </c>
      <c r="N25" s="96">
        <f>([7]Outputs!L24)*1000</f>
        <v>8.6559999999999998E-2</v>
      </c>
      <c r="O25" s="97">
        <f>[7]Outputs!M24</f>
        <v>32808.629505545287</v>
      </c>
      <c r="P25" s="97">
        <f>([7]Outputs!N24)/1000</f>
        <v>17.224399545082154</v>
      </c>
      <c r="Q25" s="95">
        <f>[7]Outputs!O24</f>
        <v>1.0697233651225421E-2</v>
      </c>
      <c r="R25" s="125"/>
      <c r="S25" s="98">
        <f t="shared" si="0"/>
        <v>0.32435468707795845</v>
      </c>
      <c r="T25" s="269">
        <v>0.67564531292204155</v>
      </c>
    </row>
    <row r="26" spans="2:20" ht="13.5" thickBot="1">
      <c r="B26" s="107" t="s">
        <v>169</v>
      </c>
      <c r="C26" s="108"/>
      <c r="D26" s="109" t="s">
        <v>224</v>
      </c>
      <c r="E26" s="109" t="s">
        <v>207</v>
      </c>
      <c r="F26" s="102" t="s">
        <v>207</v>
      </c>
      <c r="G26" s="110" t="s">
        <v>156</v>
      </c>
      <c r="H26" s="110" t="s">
        <v>234</v>
      </c>
      <c r="I26" s="111" t="s">
        <v>208</v>
      </c>
      <c r="J26" s="112">
        <f>[7]Outputs!H25</f>
        <v>0.58602989312730902</v>
      </c>
      <c r="K26" s="112">
        <f>[7]Outputs!I25</f>
        <v>12.147264359999999</v>
      </c>
      <c r="L26" s="113">
        <f>ROUNDUP([7]Outputs!J25,3)</f>
        <v>0.41899999999999998</v>
      </c>
      <c r="M26" s="112">
        <f>(([7]Outputs!K25)/1)/1000</f>
        <v>10</v>
      </c>
      <c r="N26" s="113">
        <f>([7]Outputs!L25)*1000</f>
        <v>173.91852</v>
      </c>
      <c r="O26" s="114">
        <f>[7]Outputs!M25</f>
        <v>2404.5819246276938</v>
      </c>
      <c r="P26" s="114">
        <f>([7]Outputs!N25)/1000</f>
        <v>0.5</v>
      </c>
      <c r="Q26" s="112">
        <f>[7]Outputs!O25</f>
        <v>0.71361774280539991</v>
      </c>
      <c r="R26" s="126"/>
      <c r="S26" s="115">
        <f t="shared" si="0"/>
        <v>0.27605295776617755</v>
      </c>
      <c r="T26" s="269">
        <v>0.72394704223382245</v>
      </c>
    </row>
    <row r="27" spans="2:20">
      <c r="B27" s="375" t="s">
        <v>225</v>
      </c>
      <c r="C27" s="116" t="s">
        <v>226</v>
      </c>
      <c r="D27" s="75"/>
      <c r="E27" s="75"/>
      <c r="F27" s="102"/>
      <c r="G27" s="76" t="s">
        <v>227</v>
      </c>
      <c r="H27" s="76" t="s">
        <v>106</v>
      </c>
      <c r="I27" s="77" t="s">
        <v>208</v>
      </c>
      <c r="J27" s="78"/>
      <c r="K27" s="78"/>
      <c r="L27" s="78"/>
      <c r="M27" s="78"/>
      <c r="N27" s="78"/>
      <c r="O27" s="78"/>
      <c r="P27" s="78"/>
      <c r="Q27" s="117">
        <f>[7]Outputs!O26</f>
        <v>16.23163850531953</v>
      </c>
      <c r="R27" s="123"/>
      <c r="S27" s="81">
        <f t="shared" si="0"/>
        <v>0.33999999999999997</v>
      </c>
      <c r="T27" s="269">
        <v>0.66</v>
      </c>
    </row>
    <row r="28" spans="2:20" ht="13.5" thickBot="1">
      <c r="B28" s="376"/>
      <c r="C28" s="118" t="s">
        <v>228</v>
      </c>
      <c r="D28" s="92"/>
      <c r="E28" s="92"/>
      <c r="F28" s="104"/>
      <c r="G28" s="93" t="s">
        <v>227</v>
      </c>
      <c r="H28" s="93" t="s">
        <v>106</v>
      </c>
      <c r="I28" s="101" t="s">
        <v>208</v>
      </c>
      <c r="J28" s="95"/>
      <c r="K28" s="95"/>
      <c r="L28" s="95"/>
      <c r="M28" s="95"/>
      <c r="N28" s="95"/>
      <c r="O28" s="95"/>
      <c r="P28" s="95"/>
      <c r="Q28" s="95">
        <f>[7]Outputs!O27</f>
        <v>57.145128994219554</v>
      </c>
      <c r="R28" s="125"/>
      <c r="S28" s="98">
        <f t="shared" si="0"/>
        <v>0.19999999999999996</v>
      </c>
      <c r="T28" s="269">
        <v>0.8</v>
      </c>
    </row>
    <row r="29" spans="2:20">
      <c r="B29" s="375" t="s">
        <v>229</v>
      </c>
      <c r="C29" s="378" t="s">
        <v>205</v>
      </c>
      <c r="D29" s="75"/>
      <c r="E29" s="75"/>
      <c r="F29" s="102"/>
      <c r="G29" s="76" t="s">
        <v>157</v>
      </c>
      <c r="H29" s="76" t="s">
        <v>235</v>
      </c>
      <c r="I29" s="77" t="s">
        <v>208</v>
      </c>
      <c r="J29" s="78"/>
      <c r="K29" s="78"/>
      <c r="L29" s="78"/>
      <c r="M29" s="78"/>
      <c r="N29" s="78"/>
      <c r="O29" s="78"/>
      <c r="P29" s="78"/>
      <c r="Q29" s="78">
        <f>[7]Outputs!O28</f>
        <v>0.13344140266064158</v>
      </c>
      <c r="R29" s="123"/>
      <c r="S29" s="81">
        <f t="shared" si="0"/>
        <v>0.25641025641025639</v>
      </c>
      <c r="T29" s="269">
        <v>0.74358974358974361</v>
      </c>
    </row>
    <row r="30" spans="2:20">
      <c r="B30" s="377"/>
      <c r="C30" s="379"/>
      <c r="D30" s="82"/>
      <c r="E30" s="82"/>
      <c r="F30" s="103"/>
      <c r="G30" s="83" t="s">
        <v>155</v>
      </c>
      <c r="H30" s="83" t="s">
        <v>84</v>
      </c>
      <c r="I30" s="84" t="s">
        <v>208</v>
      </c>
      <c r="J30" s="85"/>
      <c r="K30" s="85"/>
      <c r="L30" s="85"/>
      <c r="M30" s="85"/>
      <c r="N30" s="85"/>
      <c r="O30" s="85"/>
      <c r="P30" s="85"/>
      <c r="Q30" s="119">
        <f>[7]Outputs!O29</f>
        <v>0.21429400000000001</v>
      </c>
      <c r="R30" s="124"/>
      <c r="S30" s="88">
        <f t="shared" si="0"/>
        <v>0</v>
      </c>
      <c r="T30" s="269">
        <v>1</v>
      </c>
    </row>
    <row r="31" spans="2:20">
      <c r="B31" s="377"/>
      <c r="C31" s="374" t="s">
        <v>230</v>
      </c>
      <c r="D31" s="82"/>
      <c r="E31" s="82"/>
      <c r="F31" s="103"/>
      <c r="G31" s="83" t="s">
        <v>157</v>
      </c>
      <c r="H31" s="83" t="s">
        <v>235</v>
      </c>
      <c r="I31" s="84" t="s">
        <v>208</v>
      </c>
      <c r="J31" s="85"/>
      <c r="K31" s="85"/>
      <c r="L31" s="85"/>
      <c r="M31" s="85"/>
      <c r="N31" s="85"/>
      <c r="O31" s="85"/>
      <c r="P31" s="85"/>
      <c r="Q31" s="119">
        <f>[7]Outputs!O30</f>
        <v>1.5216156755530919</v>
      </c>
      <c r="R31" s="124"/>
      <c r="S31" s="88">
        <f t="shared" si="0"/>
        <v>0.25641025641025639</v>
      </c>
      <c r="T31" s="269">
        <v>0.74358974358974361</v>
      </c>
    </row>
    <row r="32" spans="2:20" ht="13.5" thickBot="1">
      <c r="B32" s="376"/>
      <c r="C32" s="380"/>
      <c r="D32" s="92"/>
      <c r="E32" s="92"/>
      <c r="F32" s="104"/>
      <c r="G32" s="93" t="s">
        <v>155</v>
      </c>
      <c r="H32" s="93" t="s">
        <v>84</v>
      </c>
      <c r="I32" s="101" t="s">
        <v>208</v>
      </c>
      <c r="J32" s="95"/>
      <c r="K32" s="95"/>
      <c r="L32" s="95"/>
      <c r="M32" s="95"/>
      <c r="N32" s="95"/>
      <c r="O32" s="95"/>
      <c r="P32" s="95"/>
      <c r="Q32" s="120">
        <f>[7]Outputs!O31</f>
        <v>5.6542000000000002E-2</v>
      </c>
      <c r="R32" s="125"/>
      <c r="S32" s="98">
        <f t="shared" si="0"/>
        <v>0.25641025641025639</v>
      </c>
      <c r="T32" s="269">
        <v>0.74358974358974361</v>
      </c>
    </row>
    <row r="33" spans="2:20" ht="15.75" thickBot="1">
      <c r="B33" s="375" t="s">
        <v>167</v>
      </c>
      <c r="C33" s="116" t="s">
        <v>226</v>
      </c>
      <c r="D33" s="75"/>
      <c r="E33" s="75"/>
      <c r="F33" s="102"/>
      <c r="G33" s="76" t="s">
        <v>158</v>
      </c>
      <c r="H33" s="76" t="s">
        <v>107</v>
      </c>
      <c r="I33" s="77" t="s">
        <v>208</v>
      </c>
      <c r="J33" s="78"/>
      <c r="K33" s="78"/>
      <c r="L33" s="78"/>
      <c r="M33" s="78"/>
      <c r="N33" s="78"/>
      <c r="O33" s="78"/>
      <c r="P33" s="78"/>
      <c r="Q33" s="78">
        <f>[7]Outputs!O32</f>
        <v>3.6186409269341855</v>
      </c>
      <c r="R33" s="123"/>
      <c r="S33" s="271">
        <f t="shared" si="0"/>
        <v>0.66399999999999992</v>
      </c>
      <c r="T33" s="272">
        <v>0.33600000000000002</v>
      </c>
    </row>
    <row r="34" spans="2:20" ht="13.5" thickBot="1">
      <c r="B34" s="376"/>
      <c r="C34" s="118" t="s">
        <v>231</v>
      </c>
      <c r="D34" s="92"/>
      <c r="E34" s="92"/>
      <c r="F34" s="104"/>
      <c r="G34" s="93" t="s">
        <v>158</v>
      </c>
      <c r="H34" s="93" t="s">
        <v>107</v>
      </c>
      <c r="I34" s="101" t="s">
        <v>208</v>
      </c>
      <c r="J34" s="95"/>
      <c r="K34" s="95"/>
      <c r="L34" s="95"/>
      <c r="M34" s="95"/>
      <c r="N34" s="95"/>
      <c r="O34" s="95"/>
      <c r="P34" s="95"/>
      <c r="Q34" s="120">
        <f>[7]Outputs!O33</f>
        <v>13.286203471697528</v>
      </c>
      <c r="R34" s="125"/>
      <c r="S34" s="121">
        <f t="shared" si="0"/>
        <v>0.21799999999999997</v>
      </c>
      <c r="T34" s="272">
        <v>0.78200000000000003</v>
      </c>
    </row>
    <row r="35" spans="2:20">
      <c r="I35" s="122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topLeftCell="B1" zoomScale="70" zoomScaleNormal="70" workbookViewId="0">
      <selection activeCell="R46" sqref="R46"/>
    </sheetView>
  </sheetViews>
  <sheetFormatPr defaultRowHeight="15"/>
  <cols>
    <col min="1" max="1" width="37" style="276" customWidth="1"/>
    <col min="2" max="2" width="15.28515625" style="276" customWidth="1"/>
    <col min="3" max="16" width="9.140625" style="276"/>
    <col min="17" max="17" width="19.85546875" style="276" customWidth="1"/>
    <col min="18" max="18" width="15.140625" style="276" customWidth="1"/>
    <col min="19" max="16384" width="9.140625" style="276"/>
  </cols>
  <sheetData>
    <row r="1" spans="1:31">
      <c r="A1" s="275" t="s">
        <v>278</v>
      </c>
      <c r="B1" s="346" t="s">
        <v>278</v>
      </c>
      <c r="C1" s="326" t="s">
        <v>279</v>
      </c>
      <c r="D1" s="326">
        <v>2015</v>
      </c>
      <c r="E1" s="326">
        <v>2016</v>
      </c>
      <c r="F1" s="326">
        <v>2018</v>
      </c>
      <c r="G1" s="326">
        <v>2021</v>
      </c>
      <c r="H1" s="326">
        <v>2025</v>
      </c>
      <c r="I1" s="326">
        <v>2030</v>
      </c>
      <c r="J1" s="326">
        <v>2035</v>
      </c>
      <c r="K1" s="326">
        <v>2040</v>
      </c>
      <c r="L1" s="326">
        <v>2045</v>
      </c>
      <c r="M1" s="326">
        <v>2050</v>
      </c>
      <c r="N1" s="326">
        <v>2055</v>
      </c>
      <c r="O1" s="326">
        <v>2060</v>
      </c>
      <c r="P1" s="347"/>
      <c r="Q1" s="347"/>
      <c r="R1" s="348" t="s">
        <v>280</v>
      </c>
      <c r="S1" s="327" t="s">
        <v>279</v>
      </c>
      <c r="T1" s="327">
        <v>2015</v>
      </c>
      <c r="U1" s="327">
        <v>2016</v>
      </c>
      <c r="V1" s="327">
        <v>2018</v>
      </c>
      <c r="W1" s="327">
        <v>2021</v>
      </c>
      <c r="X1" s="327">
        <v>2025</v>
      </c>
      <c r="Y1" s="327">
        <v>2030</v>
      </c>
      <c r="Z1" s="327">
        <v>2035</v>
      </c>
      <c r="AA1" s="327">
        <v>2040</v>
      </c>
      <c r="AB1" s="327">
        <v>2045</v>
      </c>
      <c r="AC1" s="327">
        <v>2050</v>
      </c>
      <c r="AD1" s="327">
        <v>2055</v>
      </c>
      <c r="AE1" s="327">
        <v>2060</v>
      </c>
    </row>
    <row r="2" spans="1:31">
      <c r="A2" s="277" t="s">
        <v>281</v>
      </c>
      <c r="B2" s="349" t="s">
        <v>281</v>
      </c>
      <c r="C2" s="349" t="s">
        <v>92</v>
      </c>
      <c r="D2" s="325">
        <v>24.17</v>
      </c>
      <c r="E2" s="325">
        <v>25.19</v>
      </c>
      <c r="F2" s="325">
        <v>26.5</v>
      </c>
      <c r="G2" s="325">
        <v>28.37</v>
      </c>
      <c r="H2" s="325">
        <v>30.96</v>
      </c>
      <c r="I2" s="325">
        <v>34.549999999999997</v>
      </c>
      <c r="J2" s="325">
        <v>37.83</v>
      </c>
      <c r="K2" s="325">
        <v>40.08</v>
      </c>
      <c r="L2" s="325">
        <v>42.65</v>
      </c>
      <c r="M2" s="325">
        <v>45.41</v>
      </c>
      <c r="N2" s="325">
        <v>47.82</v>
      </c>
      <c r="O2" s="325">
        <v>50.05</v>
      </c>
      <c r="P2" s="324"/>
      <c r="Q2" s="324"/>
      <c r="R2" s="325" t="s">
        <v>281</v>
      </c>
      <c r="S2" s="325" t="s">
        <v>92</v>
      </c>
      <c r="T2" s="325">
        <v>8.43</v>
      </c>
      <c r="U2" s="325">
        <v>8.7899999999999991</v>
      </c>
      <c r="V2" s="325">
        <v>9.24</v>
      </c>
      <c r="W2" s="325">
        <v>9.9</v>
      </c>
      <c r="X2" s="325">
        <v>10.8</v>
      </c>
      <c r="Y2" s="325">
        <v>12.05</v>
      </c>
      <c r="Z2" s="325">
        <v>13.2</v>
      </c>
      <c r="AA2" s="325">
        <v>13.98</v>
      </c>
      <c r="AB2" s="325">
        <v>14.88</v>
      </c>
      <c r="AC2" s="325">
        <v>15.84</v>
      </c>
      <c r="AD2" s="325">
        <v>16.68</v>
      </c>
      <c r="AE2" s="325">
        <v>17.46</v>
      </c>
    </row>
    <row r="3" spans="1:31">
      <c r="A3" s="276" t="s">
        <v>282</v>
      </c>
      <c r="B3" s="347" t="s">
        <v>282</v>
      </c>
      <c r="C3" s="347" t="s">
        <v>92</v>
      </c>
      <c r="D3" s="324">
        <v>5.12</v>
      </c>
      <c r="E3" s="324">
        <v>5.53</v>
      </c>
      <c r="F3" s="324">
        <v>6.45</v>
      </c>
      <c r="G3" s="324">
        <v>7.08</v>
      </c>
      <c r="H3" s="324">
        <v>7.94</v>
      </c>
      <c r="I3" s="324">
        <v>9.18</v>
      </c>
      <c r="J3" s="324">
        <v>10.45</v>
      </c>
      <c r="K3" s="324">
        <v>11.56</v>
      </c>
      <c r="L3" s="324">
        <v>12.85</v>
      </c>
      <c r="M3" s="324">
        <v>14.25</v>
      </c>
      <c r="N3" s="324">
        <v>15.58</v>
      </c>
      <c r="O3" s="324">
        <v>16.82</v>
      </c>
      <c r="P3" s="324"/>
      <c r="Q3" s="324"/>
      <c r="R3" s="324" t="s">
        <v>282</v>
      </c>
      <c r="S3" s="324" t="s">
        <v>92</v>
      </c>
      <c r="T3" s="324">
        <v>2.13</v>
      </c>
      <c r="U3" s="324">
        <v>2.2999999999999998</v>
      </c>
      <c r="V3" s="324">
        <v>2.69</v>
      </c>
      <c r="W3" s="324">
        <v>2.95</v>
      </c>
      <c r="X3" s="324">
        <v>3.31</v>
      </c>
      <c r="Y3" s="324">
        <v>3.83</v>
      </c>
      <c r="Z3" s="324">
        <v>4.3600000000000003</v>
      </c>
      <c r="AA3" s="324">
        <v>4.82</v>
      </c>
      <c r="AB3" s="324">
        <v>5.36</v>
      </c>
      <c r="AC3" s="324">
        <v>5.94</v>
      </c>
      <c r="AD3" s="324">
        <v>6.49</v>
      </c>
      <c r="AE3" s="324">
        <v>7.01</v>
      </c>
    </row>
    <row r="4" spans="1:31">
      <c r="A4" s="277" t="s">
        <v>283</v>
      </c>
      <c r="B4" s="349" t="s">
        <v>283</v>
      </c>
      <c r="C4" s="349" t="s">
        <v>92</v>
      </c>
      <c r="D4" s="325">
        <v>0.55000000000000004</v>
      </c>
      <c r="E4" s="325">
        <v>0.56999999999999995</v>
      </c>
      <c r="F4" s="325">
        <v>0.6</v>
      </c>
      <c r="G4" s="325">
        <v>0.64</v>
      </c>
      <c r="H4" s="325">
        <v>0.68</v>
      </c>
      <c r="I4" s="325">
        <v>0.73</v>
      </c>
      <c r="J4" s="325">
        <v>0.77</v>
      </c>
      <c r="K4" s="325">
        <v>0.78</v>
      </c>
      <c r="L4" s="325">
        <v>0.79</v>
      </c>
      <c r="M4" s="325">
        <v>0.81</v>
      </c>
      <c r="N4" s="325">
        <v>0.81</v>
      </c>
      <c r="O4" s="325">
        <v>0.81</v>
      </c>
      <c r="P4" s="324"/>
      <c r="Q4" s="324"/>
      <c r="R4" s="325" t="s">
        <v>283</v>
      </c>
      <c r="S4" s="325" t="s">
        <v>92</v>
      </c>
      <c r="T4" s="325">
        <v>0.23</v>
      </c>
      <c r="U4" s="325">
        <v>0.24</v>
      </c>
      <c r="V4" s="325">
        <v>0.25</v>
      </c>
      <c r="W4" s="325">
        <v>0.27</v>
      </c>
      <c r="X4" s="325">
        <v>0.28999999999999998</v>
      </c>
      <c r="Y4" s="325">
        <v>0.31</v>
      </c>
      <c r="Z4" s="325">
        <v>0.32</v>
      </c>
      <c r="AA4" s="325">
        <v>0.33</v>
      </c>
      <c r="AB4" s="325">
        <v>0.33</v>
      </c>
      <c r="AC4" s="325">
        <v>0.34</v>
      </c>
      <c r="AD4" s="325">
        <v>0.34</v>
      </c>
      <c r="AE4" s="325">
        <v>0.34</v>
      </c>
    </row>
    <row r="5" spans="1:31">
      <c r="A5" s="276" t="s">
        <v>284</v>
      </c>
      <c r="B5" s="347" t="s">
        <v>284</v>
      </c>
      <c r="C5" s="347" t="s">
        <v>92</v>
      </c>
      <c r="D5" s="324">
        <v>0.42523616734143049</v>
      </c>
      <c r="E5" s="324">
        <v>0.43756185335132702</v>
      </c>
      <c r="F5" s="324">
        <v>0.46221322537112014</v>
      </c>
      <c r="G5" s="324">
        <v>0.49302744039586149</v>
      </c>
      <c r="H5" s="324">
        <v>0.52384165542060279</v>
      </c>
      <c r="I5" s="324">
        <v>0.56390013495276659</v>
      </c>
      <c r="J5" s="324">
        <v>0.59163292847503379</v>
      </c>
      <c r="K5" s="324">
        <v>0.60087719298245612</v>
      </c>
      <c r="L5" s="324">
        <v>0.61320287899235271</v>
      </c>
      <c r="M5" s="324">
        <v>0.62244714349977515</v>
      </c>
      <c r="N5" s="324">
        <v>0.62552856500224918</v>
      </c>
      <c r="O5" s="324">
        <v>0.62552856500224918</v>
      </c>
      <c r="P5" s="324"/>
      <c r="Q5" s="324"/>
      <c r="R5" s="324" t="s">
        <v>284</v>
      </c>
      <c r="S5" s="324" t="s">
        <v>92</v>
      </c>
      <c r="T5" s="324">
        <v>0.17872244714349977</v>
      </c>
      <c r="U5" s="324">
        <v>0.18488529014844804</v>
      </c>
      <c r="V5" s="324">
        <v>0.19412955465587045</v>
      </c>
      <c r="W5" s="324">
        <v>0.20645524066576701</v>
      </c>
      <c r="X5" s="324">
        <v>0.22186234817813766</v>
      </c>
      <c r="Y5" s="324">
        <v>0.23726945569050834</v>
      </c>
      <c r="Z5" s="324">
        <v>0.24959514170040489</v>
      </c>
      <c r="AA5" s="324">
        <v>0.25267656320287901</v>
      </c>
      <c r="AB5" s="324">
        <v>0.25575798470535316</v>
      </c>
      <c r="AC5" s="324">
        <v>0.2619208277103014</v>
      </c>
      <c r="AD5" s="324">
        <v>0.2619208277103014</v>
      </c>
      <c r="AE5" s="324">
        <v>0.2619208277103014</v>
      </c>
    </row>
    <row r="6" spans="1:31">
      <c r="A6" s="277" t="s">
        <v>224</v>
      </c>
      <c r="B6" s="350" t="s">
        <v>333</v>
      </c>
      <c r="C6" s="347" t="s">
        <v>92</v>
      </c>
      <c r="D6" s="324">
        <v>0.95476383265856957</v>
      </c>
      <c r="E6" s="324">
        <v>0.98243814664867302</v>
      </c>
      <c r="F6" s="324">
        <v>1.03778677462888</v>
      </c>
      <c r="G6" s="324">
        <v>1.1069725596041387</v>
      </c>
      <c r="H6" s="324">
        <v>1.1761583445793973</v>
      </c>
      <c r="I6" s="324">
        <v>1.2660998650472337</v>
      </c>
      <c r="J6" s="324">
        <v>1.3283670715249665</v>
      </c>
      <c r="K6" s="324">
        <v>1.3491228070175441</v>
      </c>
      <c r="L6" s="324">
        <v>1.3767971210076475</v>
      </c>
      <c r="M6" s="324">
        <v>1.3975528565002251</v>
      </c>
      <c r="N6" s="324">
        <v>1.4044714349977507</v>
      </c>
      <c r="O6" s="324">
        <v>1.4044714349977507</v>
      </c>
      <c r="P6" s="324"/>
      <c r="Q6" s="324"/>
      <c r="R6" s="350" t="s">
        <v>333</v>
      </c>
      <c r="S6" s="324" t="s">
        <v>92</v>
      </c>
      <c r="T6" s="324">
        <v>0.40127755285650024</v>
      </c>
      <c r="U6" s="324">
        <v>0.41511470985155202</v>
      </c>
      <c r="V6" s="324">
        <v>0.43587044534412961</v>
      </c>
      <c r="W6" s="324">
        <v>0.46354475933423311</v>
      </c>
      <c r="X6" s="324">
        <v>0.49813765182186237</v>
      </c>
      <c r="Y6" s="324">
        <v>0.53273054430949174</v>
      </c>
      <c r="Z6" s="324">
        <v>0.5604048582995953</v>
      </c>
      <c r="AA6" s="324">
        <v>0.56732343679712105</v>
      </c>
      <c r="AB6" s="324">
        <v>0.57424201529464691</v>
      </c>
      <c r="AC6" s="324">
        <v>0.58807917228969864</v>
      </c>
      <c r="AD6" s="324">
        <v>0.58807917228969864</v>
      </c>
      <c r="AE6" s="324">
        <v>0.58807917228969864</v>
      </c>
    </row>
    <row r="7" spans="1:31">
      <c r="A7" s="276" t="s">
        <v>223</v>
      </c>
      <c r="B7" s="349" t="s">
        <v>224</v>
      </c>
      <c r="C7" s="349" t="s">
        <v>92</v>
      </c>
      <c r="D7" s="325">
        <v>0.28999999999999998</v>
      </c>
      <c r="E7" s="325">
        <v>0.3</v>
      </c>
      <c r="F7" s="325">
        <v>0.3</v>
      </c>
      <c r="G7" s="325">
        <v>0.32</v>
      </c>
      <c r="H7" s="325">
        <v>0.34</v>
      </c>
      <c r="I7" s="325">
        <v>0.36</v>
      </c>
      <c r="J7" s="325">
        <v>0.37</v>
      </c>
      <c r="K7" s="325">
        <v>0.36</v>
      </c>
      <c r="L7" s="325">
        <v>0.36</v>
      </c>
      <c r="M7" s="325">
        <v>0.38</v>
      </c>
      <c r="N7" s="325">
        <v>0.38</v>
      </c>
      <c r="O7" s="325">
        <v>0.39</v>
      </c>
      <c r="P7" s="324"/>
      <c r="Q7" s="324"/>
      <c r="R7" s="325" t="s">
        <v>224</v>
      </c>
      <c r="S7" s="325" t="s">
        <v>92</v>
      </c>
      <c r="T7" s="325">
        <v>0.11</v>
      </c>
      <c r="U7" s="325">
        <v>0.12</v>
      </c>
      <c r="V7" s="325">
        <v>0.11</v>
      </c>
      <c r="W7" s="325">
        <v>0.12</v>
      </c>
      <c r="X7" s="325">
        <v>0.13</v>
      </c>
      <c r="Y7" s="325">
        <v>0.14000000000000001</v>
      </c>
      <c r="Z7" s="325">
        <v>0.14000000000000001</v>
      </c>
      <c r="AA7" s="325">
        <v>0.14000000000000001</v>
      </c>
      <c r="AB7" s="325">
        <v>0.14000000000000001</v>
      </c>
      <c r="AC7" s="325">
        <v>0.14000000000000001</v>
      </c>
      <c r="AD7" s="325">
        <v>0.15</v>
      </c>
      <c r="AE7" s="325">
        <v>0.15</v>
      </c>
    </row>
    <row r="8" spans="1:31">
      <c r="A8" s="277" t="s">
        <v>285</v>
      </c>
      <c r="B8" s="347" t="s">
        <v>223</v>
      </c>
      <c r="C8" s="347" t="s">
        <v>92</v>
      </c>
      <c r="D8" s="324">
        <v>0.18</v>
      </c>
      <c r="E8" s="324">
        <v>0.19</v>
      </c>
      <c r="F8" s="324">
        <v>0.21</v>
      </c>
      <c r="G8" s="324">
        <v>0.24</v>
      </c>
      <c r="H8" s="324">
        <v>0.27</v>
      </c>
      <c r="I8" s="324">
        <v>0.32</v>
      </c>
      <c r="J8" s="324">
        <v>0.37</v>
      </c>
      <c r="K8" s="324">
        <v>0.42</v>
      </c>
      <c r="L8" s="324">
        <v>0.47</v>
      </c>
      <c r="M8" s="324">
        <v>0.52</v>
      </c>
      <c r="N8" s="324">
        <v>0.57999999999999996</v>
      </c>
      <c r="O8" s="324">
        <v>0.63</v>
      </c>
      <c r="P8" s="324"/>
      <c r="Q8" s="324"/>
      <c r="R8" s="324" t="s">
        <v>223</v>
      </c>
      <c r="S8" s="324" t="s">
        <v>92</v>
      </c>
      <c r="T8" s="324">
        <v>0.09</v>
      </c>
      <c r="U8" s="324">
        <v>0.09</v>
      </c>
      <c r="V8" s="324">
        <v>0.1</v>
      </c>
      <c r="W8" s="324">
        <v>0.11</v>
      </c>
      <c r="X8" s="324">
        <v>0.13</v>
      </c>
      <c r="Y8" s="324">
        <v>0.15</v>
      </c>
      <c r="Z8" s="324">
        <v>0.18</v>
      </c>
      <c r="AA8" s="324">
        <v>0.2</v>
      </c>
      <c r="AB8" s="324">
        <v>0.22</v>
      </c>
      <c r="AC8" s="324">
        <v>0.25</v>
      </c>
      <c r="AD8" s="324">
        <v>0.28000000000000003</v>
      </c>
      <c r="AE8" s="324">
        <v>0.3</v>
      </c>
    </row>
    <row r="9" spans="1:31">
      <c r="A9" s="276" t="s">
        <v>286</v>
      </c>
      <c r="B9" s="349" t="s">
        <v>285</v>
      </c>
      <c r="C9" s="349" t="s">
        <v>40</v>
      </c>
      <c r="D9" s="325">
        <v>2</v>
      </c>
      <c r="E9" s="325">
        <v>1.4</v>
      </c>
      <c r="F9" s="325">
        <v>1.22</v>
      </c>
      <c r="G9" s="325">
        <v>1.23</v>
      </c>
      <c r="H9" s="325">
        <v>1.29</v>
      </c>
      <c r="I9" s="325">
        <v>1.39</v>
      </c>
      <c r="J9" s="325">
        <v>1.49</v>
      </c>
      <c r="K9" s="325">
        <v>1.59</v>
      </c>
      <c r="L9" s="325">
        <v>1.68</v>
      </c>
      <c r="M9" s="325">
        <v>1.75</v>
      </c>
      <c r="N9" s="325">
        <v>1.82</v>
      </c>
      <c r="O9" s="325">
        <v>1.89</v>
      </c>
      <c r="P9" s="324"/>
      <c r="Q9" s="324"/>
      <c r="R9" s="325" t="s">
        <v>285</v>
      </c>
      <c r="S9" s="325" t="s">
        <v>40</v>
      </c>
      <c r="T9" s="325">
        <v>3.86</v>
      </c>
      <c r="U9" s="325">
        <v>2.71</v>
      </c>
      <c r="V9" s="325">
        <v>2.4</v>
      </c>
      <c r="W9" s="325">
        <v>2.4900000000000002</v>
      </c>
      <c r="X9" s="325">
        <v>2.59</v>
      </c>
      <c r="Y9" s="325">
        <v>2.68</v>
      </c>
      <c r="Z9" s="325">
        <v>2.78</v>
      </c>
      <c r="AA9" s="325">
        <v>2.89</v>
      </c>
      <c r="AB9" s="325">
        <v>3</v>
      </c>
      <c r="AC9" s="325">
        <v>3.11</v>
      </c>
      <c r="AD9" s="325">
        <v>3.22</v>
      </c>
      <c r="AE9" s="325">
        <v>3.34</v>
      </c>
    </row>
    <row r="10" spans="1:31">
      <c r="A10" s="277" t="s">
        <v>287</v>
      </c>
      <c r="B10" s="347" t="s">
        <v>286</v>
      </c>
      <c r="C10" s="347" t="s">
        <v>40</v>
      </c>
      <c r="D10" s="324">
        <v>9.6999999999999993</v>
      </c>
      <c r="E10" s="324">
        <v>8.8000000000000007</v>
      </c>
      <c r="F10" s="324">
        <v>9.18</v>
      </c>
      <c r="G10" s="324">
        <v>9.76</v>
      </c>
      <c r="H10" s="324">
        <v>10.68</v>
      </c>
      <c r="I10" s="324">
        <v>12.03</v>
      </c>
      <c r="J10" s="324">
        <v>13.76</v>
      </c>
      <c r="K10" s="324">
        <v>14.85</v>
      </c>
      <c r="L10" s="324">
        <v>15.95</v>
      </c>
      <c r="M10" s="324">
        <v>16.8</v>
      </c>
      <c r="N10" s="324">
        <v>17.690000000000001</v>
      </c>
      <c r="O10" s="324">
        <v>18.63</v>
      </c>
      <c r="P10" s="324"/>
      <c r="Q10" s="324"/>
      <c r="R10" s="324" t="s">
        <v>286</v>
      </c>
      <c r="S10" s="324" t="s">
        <v>40</v>
      </c>
      <c r="T10" s="324">
        <v>2.71</v>
      </c>
      <c r="U10" s="324">
        <v>2.46</v>
      </c>
      <c r="V10" s="324">
        <v>2.56</v>
      </c>
      <c r="W10" s="324">
        <v>2.73</v>
      </c>
      <c r="X10" s="324">
        <v>2.98</v>
      </c>
      <c r="Y10" s="324">
        <v>3.36</v>
      </c>
      <c r="Z10" s="324">
        <v>3.84</v>
      </c>
      <c r="AA10" s="324">
        <v>4.1500000000000004</v>
      </c>
      <c r="AB10" s="324">
        <v>4.45</v>
      </c>
      <c r="AC10" s="324">
        <v>4.6900000000000004</v>
      </c>
      <c r="AD10" s="324">
        <v>4.9400000000000004</v>
      </c>
      <c r="AE10" s="324">
        <v>5.2</v>
      </c>
    </row>
    <row r="11" spans="1:31">
      <c r="A11" s="276" t="s">
        <v>288</v>
      </c>
      <c r="B11" s="349" t="s">
        <v>287</v>
      </c>
      <c r="C11" s="349" t="s">
        <v>40</v>
      </c>
      <c r="D11" s="325">
        <v>8.19</v>
      </c>
      <c r="E11" s="325">
        <v>8.9600000000000009</v>
      </c>
      <c r="F11" s="325">
        <v>10.71</v>
      </c>
      <c r="G11" s="325">
        <v>11.6</v>
      </c>
      <c r="H11" s="325">
        <v>13.23</v>
      </c>
      <c r="I11" s="325">
        <v>15.55</v>
      </c>
      <c r="J11" s="325">
        <v>18.12</v>
      </c>
      <c r="K11" s="325">
        <v>19.97</v>
      </c>
      <c r="L11" s="325">
        <v>22.05</v>
      </c>
      <c r="M11" s="325">
        <v>24.35</v>
      </c>
      <c r="N11" s="325">
        <v>25.42</v>
      </c>
      <c r="O11" s="325">
        <v>26.53</v>
      </c>
      <c r="P11" s="324"/>
      <c r="Q11" s="324"/>
      <c r="R11" s="325" t="s">
        <v>287</v>
      </c>
      <c r="S11" s="325" t="s">
        <v>40</v>
      </c>
      <c r="T11" s="325">
        <v>4.22</v>
      </c>
      <c r="U11" s="325">
        <v>4.62</v>
      </c>
      <c r="V11" s="325">
        <v>5.52</v>
      </c>
      <c r="W11" s="325">
        <v>5.97</v>
      </c>
      <c r="X11" s="325">
        <v>6.82</v>
      </c>
      <c r="Y11" s="325">
        <v>8.01</v>
      </c>
      <c r="Z11" s="325">
        <v>9.33</v>
      </c>
      <c r="AA11" s="325">
        <v>10.29</v>
      </c>
      <c r="AB11" s="325">
        <v>11.36</v>
      </c>
      <c r="AC11" s="325">
        <v>12.54</v>
      </c>
      <c r="AD11" s="325">
        <v>13.09</v>
      </c>
      <c r="AE11" s="325">
        <v>13.67</v>
      </c>
    </row>
    <row r="12" spans="1:31">
      <c r="A12" s="277" t="s">
        <v>289</v>
      </c>
      <c r="B12" s="347" t="s">
        <v>288</v>
      </c>
      <c r="C12" s="347" t="s">
        <v>40</v>
      </c>
      <c r="D12" s="324">
        <v>32.29</v>
      </c>
      <c r="E12" s="324">
        <v>38.85</v>
      </c>
      <c r="F12" s="324">
        <v>45.72</v>
      </c>
      <c r="G12" s="324">
        <v>49.43</v>
      </c>
      <c r="H12" s="324">
        <v>56.09</v>
      </c>
      <c r="I12" s="324">
        <v>66.39</v>
      </c>
      <c r="J12" s="324">
        <v>78.2</v>
      </c>
      <c r="K12" s="324">
        <v>86.85</v>
      </c>
      <c r="L12" s="324">
        <v>96.66</v>
      </c>
      <c r="M12" s="324">
        <v>107.57</v>
      </c>
      <c r="N12" s="324">
        <v>112.82</v>
      </c>
      <c r="O12" s="324">
        <v>118.33</v>
      </c>
      <c r="P12" s="324"/>
      <c r="Q12" s="324"/>
      <c r="R12" s="324" t="s">
        <v>288</v>
      </c>
      <c r="S12" s="324" t="s">
        <v>40</v>
      </c>
      <c r="T12" s="324">
        <v>8.07</v>
      </c>
      <c r="U12" s="324">
        <v>9.7100000000000009</v>
      </c>
      <c r="V12" s="324">
        <v>11.43</v>
      </c>
      <c r="W12" s="324">
        <v>12.36</v>
      </c>
      <c r="X12" s="324">
        <v>14.02</v>
      </c>
      <c r="Y12" s="324">
        <v>16.600000000000001</v>
      </c>
      <c r="Z12" s="324">
        <v>19.55</v>
      </c>
      <c r="AA12" s="324">
        <v>21.71</v>
      </c>
      <c r="AB12" s="324">
        <v>24.16</v>
      </c>
      <c r="AC12" s="324">
        <v>26.89</v>
      </c>
      <c r="AD12" s="324">
        <v>28.21</v>
      </c>
      <c r="AE12" s="324">
        <v>29.58</v>
      </c>
    </row>
    <row r="13" spans="1:31">
      <c r="A13" s="276" t="s">
        <v>290</v>
      </c>
      <c r="B13" s="349" t="s">
        <v>289</v>
      </c>
      <c r="C13" s="349" t="s">
        <v>40</v>
      </c>
      <c r="D13" s="325">
        <v>1.37</v>
      </c>
      <c r="E13" s="325">
        <v>1.27</v>
      </c>
      <c r="F13" s="325">
        <v>1.17</v>
      </c>
      <c r="G13" s="325">
        <v>1.25</v>
      </c>
      <c r="H13" s="325">
        <v>1.32</v>
      </c>
      <c r="I13" s="325">
        <v>1.4</v>
      </c>
      <c r="J13" s="325">
        <v>1.46</v>
      </c>
      <c r="K13" s="325">
        <v>1.5</v>
      </c>
      <c r="L13" s="325">
        <v>1.54</v>
      </c>
      <c r="M13" s="325">
        <v>1.59</v>
      </c>
      <c r="N13" s="325">
        <v>1.63</v>
      </c>
      <c r="O13" s="325">
        <v>1.68</v>
      </c>
      <c r="P13" s="324"/>
      <c r="Q13" s="324"/>
      <c r="R13" s="325" t="s">
        <v>289</v>
      </c>
      <c r="S13" s="325" t="s">
        <v>40</v>
      </c>
      <c r="T13" s="325">
        <v>0.48</v>
      </c>
      <c r="U13" s="325">
        <v>0.45</v>
      </c>
      <c r="V13" s="325">
        <v>0.41</v>
      </c>
      <c r="W13" s="325">
        <v>0.4</v>
      </c>
      <c r="X13" s="325">
        <v>0.41</v>
      </c>
      <c r="Y13" s="325">
        <v>0.44</v>
      </c>
      <c r="Z13" s="325">
        <v>0.46</v>
      </c>
      <c r="AA13" s="325">
        <v>0.48</v>
      </c>
      <c r="AB13" s="325">
        <v>0.49</v>
      </c>
      <c r="AC13" s="325">
        <v>0.5</v>
      </c>
      <c r="AD13" s="325">
        <v>0.5</v>
      </c>
      <c r="AE13" s="325">
        <v>0.51</v>
      </c>
    </row>
    <row r="14" spans="1:31">
      <c r="A14" s="277"/>
      <c r="B14" s="347" t="s">
        <v>290</v>
      </c>
      <c r="C14" s="347" t="s">
        <v>40</v>
      </c>
      <c r="D14" s="324">
        <v>0.6</v>
      </c>
      <c r="E14" s="324">
        <v>0.33</v>
      </c>
      <c r="F14" s="324">
        <v>0.35</v>
      </c>
      <c r="G14" s="324">
        <v>0.43</v>
      </c>
      <c r="H14" s="324">
        <v>0.63</v>
      </c>
      <c r="I14" s="324">
        <v>0.91</v>
      </c>
      <c r="J14" s="324">
        <v>1.1000000000000001</v>
      </c>
      <c r="K14" s="324">
        <v>1.21</v>
      </c>
      <c r="L14" s="324">
        <v>1.32</v>
      </c>
      <c r="M14" s="324">
        <v>1.45</v>
      </c>
      <c r="N14" s="324">
        <v>1.59</v>
      </c>
      <c r="O14" s="324">
        <v>1.73</v>
      </c>
      <c r="P14" s="324"/>
      <c r="Q14" s="324"/>
      <c r="R14" s="324" t="s">
        <v>290</v>
      </c>
      <c r="S14" s="324" t="s">
        <v>40</v>
      </c>
      <c r="T14" s="324">
        <v>0</v>
      </c>
      <c r="U14" s="324">
        <v>0</v>
      </c>
      <c r="V14" s="324">
        <v>0</v>
      </c>
      <c r="W14" s="324">
        <v>0</v>
      </c>
      <c r="X14" s="324">
        <v>0</v>
      </c>
      <c r="Y14" s="324">
        <v>0</v>
      </c>
      <c r="Z14" s="324">
        <v>0</v>
      </c>
      <c r="AA14" s="324">
        <v>0</v>
      </c>
      <c r="AB14" s="324">
        <v>0</v>
      </c>
      <c r="AC14" s="324">
        <v>0</v>
      </c>
      <c r="AD14" s="324">
        <v>0</v>
      </c>
      <c r="AE14" s="324">
        <v>0</v>
      </c>
    </row>
    <row r="15" spans="1:31">
      <c r="A15" s="275" t="s">
        <v>278</v>
      </c>
      <c r="B15" s="349"/>
      <c r="C15" s="349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5"/>
      <c r="O15" s="325"/>
      <c r="P15" s="324"/>
      <c r="Q15" s="324"/>
      <c r="R15" s="325"/>
      <c r="S15" s="325"/>
      <c r="T15" s="325"/>
      <c r="U15" s="325"/>
      <c r="V15" s="325"/>
      <c r="W15" s="325"/>
      <c r="X15" s="325"/>
      <c r="Y15" s="325"/>
      <c r="Z15" s="325"/>
      <c r="AA15" s="325"/>
      <c r="AB15" s="325"/>
      <c r="AC15" s="325"/>
      <c r="AD15" s="325"/>
      <c r="AE15" s="325"/>
    </row>
    <row r="16" spans="1:31">
      <c r="A16" s="277" t="s">
        <v>281</v>
      </c>
      <c r="B16" s="346" t="s">
        <v>278</v>
      </c>
      <c r="C16" s="326" t="s">
        <v>291</v>
      </c>
      <c r="D16" s="326">
        <v>2015</v>
      </c>
      <c r="E16" s="326">
        <v>2016</v>
      </c>
      <c r="F16" s="326">
        <v>2018</v>
      </c>
      <c r="G16" s="326">
        <v>2021</v>
      </c>
      <c r="H16" s="326">
        <v>2025</v>
      </c>
      <c r="I16" s="326">
        <v>2030</v>
      </c>
      <c r="J16" s="326">
        <v>2035</v>
      </c>
      <c r="K16" s="326">
        <v>2040</v>
      </c>
      <c r="L16" s="326">
        <v>2045</v>
      </c>
      <c r="M16" s="326">
        <v>2050</v>
      </c>
      <c r="N16" s="326">
        <v>2055</v>
      </c>
      <c r="O16" s="326">
        <v>2060</v>
      </c>
      <c r="P16" s="324"/>
      <c r="Q16" s="324"/>
      <c r="R16" s="328" t="s">
        <v>280</v>
      </c>
      <c r="S16" s="329" t="s">
        <v>291</v>
      </c>
      <c r="T16" s="327">
        <v>2015</v>
      </c>
      <c r="U16" s="327">
        <v>2016</v>
      </c>
      <c r="V16" s="327">
        <v>2018</v>
      </c>
      <c r="W16" s="327">
        <v>2021</v>
      </c>
      <c r="X16" s="327">
        <v>2025</v>
      </c>
      <c r="Y16" s="327">
        <v>2030</v>
      </c>
      <c r="Z16" s="327">
        <v>2035</v>
      </c>
      <c r="AA16" s="327">
        <v>2040</v>
      </c>
      <c r="AB16" s="327">
        <v>2045</v>
      </c>
      <c r="AC16" s="327">
        <v>2050</v>
      </c>
      <c r="AD16" s="327">
        <v>2055</v>
      </c>
      <c r="AE16" s="327">
        <v>2060</v>
      </c>
    </row>
    <row r="17" spans="1:31">
      <c r="A17" s="276" t="s">
        <v>282</v>
      </c>
      <c r="B17" s="349" t="s">
        <v>281</v>
      </c>
      <c r="C17" s="349" t="s">
        <v>92</v>
      </c>
      <c r="D17" s="325">
        <v>24.17</v>
      </c>
      <c r="E17" s="325">
        <v>25.19</v>
      </c>
      <c r="F17" s="325">
        <v>26.5</v>
      </c>
      <c r="G17" s="325">
        <v>26.42</v>
      </c>
      <c r="H17" s="325">
        <v>26.64</v>
      </c>
      <c r="I17" s="325">
        <v>27.36</v>
      </c>
      <c r="J17" s="325">
        <v>28.07</v>
      </c>
      <c r="K17" s="325">
        <v>29.04</v>
      </c>
      <c r="L17" s="325">
        <v>29.98</v>
      </c>
      <c r="M17" s="325">
        <v>31.13</v>
      </c>
      <c r="N17" s="325">
        <v>33.11</v>
      </c>
      <c r="O17" s="325">
        <v>35.08</v>
      </c>
      <c r="P17" s="324"/>
      <c r="Q17" s="324"/>
      <c r="R17" s="325" t="s">
        <v>281</v>
      </c>
      <c r="S17" s="325" t="s">
        <v>92</v>
      </c>
      <c r="T17" s="325">
        <v>8.43</v>
      </c>
      <c r="U17" s="325">
        <v>8.7899999999999991</v>
      </c>
      <c r="V17" s="325">
        <v>9.24</v>
      </c>
      <c r="W17" s="325">
        <v>9.2200000000000006</v>
      </c>
      <c r="X17" s="325">
        <v>9.2899999999999991</v>
      </c>
      <c r="Y17" s="325">
        <v>9.5500000000000007</v>
      </c>
      <c r="Z17" s="325">
        <v>9.7899999999999991</v>
      </c>
      <c r="AA17" s="325">
        <v>10.130000000000001</v>
      </c>
      <c r="AB17" s="325">
        <v>10.46</v>
      </c>
      <c r="AC17" s="325">
        <v>10.86</v>
      </c>
      <c r="AD17" s="325">
        <v>11.55</v>
      </c>
      <c r="AE17" s="325">
        <v>12.24</v>
      </c>
    </row>
    <row r="18" spans="1:31">
      <c r="A18" s="277" t="s">
        <v>283</v>
      </c>
      <c r="B18" s="347" t="s">
        <v>282</v>
      </c>
      <c r="C18" s="347" t="s">
        <v>92</v>
      </c>
      <c r="D18" s="324">
        <v>5.12</v>
      </c>
      <c r="E18" s="324">
        <v>5.53</v>
      </c>
      <c r="F18" s="324">
        <v>6.45</v>
      </c>
      <c r="G18" s="324">
        <v>6.74</v>
      </c>
      <c r="H18" s="324">
        <v>7.03</v>
      </c>
      <c r="I18" s="324">
        <v>7.45</v>
      </c>
      <c r="J18" s="324">
        <v>7.89</v>
      </c>
      <c r="K18" s="324">
        <v>8.43</v>
      </c>
      <c r="L18" s="324">
        <v>9.01</v>
      </c>
      <c r="M18" s="324">
        <v>9.66</v>
      </c>
      <c r="N18" s="324">
        <v>10.58</v>
      </c>
      <c r="O18" s="324">
        <v>11.51</v>
      </c>
      <c r="P18" s="324"/>
      <c r="Q18" s="324"/>
      <c r="R18" s="324" t="s">
        <v>282</v>
      </c>
      <c r="S18" s="324" t="s">
        <v>92</v>
      </c>
      <c r="T18" s="324">
        <v>2.13</v>
      </c>
      <c r="U18" s="324">
        <v>2.2999999999999998</v>
      </c>
      <c r="V18" s="324">
        <v>2.69</v>
      </c>
      <c r="W18" s="324">
        <v>2.81</v>
      </c>
      <c r="X18" s="324">
        <v>2.93</v>
      </c>
      <c r="Y18" s="324">
        <v>3.11</v>
      </c>
      <c r="Z18" s="324">
        <v>3.29</v>
      </c>
      <c r="AA18" s="324">
        <v>3.52</v>
      </c>
      <c r="AB18" s="324">
        <v>3.75</v>
      </c>
      <c r="AC18" s="324">
        <v>4.03</v>
      </c>
      <c r="AD18" s="324">
        <v>4.41</v>
      </c>
      <c r="AE18" s="324">
        <v>4.8</v>
      </c>
    </row>
    <row r="19" spans="1:31">
      <c r="A19" s="276" t="s">
        <v>284</v>
      </c>
      <c r="B19" s="349" t="s">
        <v>283</v>
      </c>
      <c r="C19" s="349" t="s">
        <v>92</v>
      </c>
      <c r="D19" s="325">
        <v>0.55000000000000004</v>
      </c>
      <c r="E19" s="325">
        <v>0.56999999999999995</v>
      </c>
      <c r="F19" s="325">
        <v>0.6</v>
      </c>
      <c r="G19" s="325">
        <v>0.63</v>
      </c>
      <c r="H19" s="325">
        <v>0.65</v>
      </c>
      <c r="I19" s="325">
        <v>0.66</v>
      </c>
      <c r="J19" s="325">
        <v>0.67</v>
      </c>
      <c r="K19" s="325">
        <v>0.67</v>
      </c>
      <c r="L19" s="325">
        <v>0.68</v>
      </c>
      <c r="M19" s="325">
        <v>0.69</v>
      </c>
      <c r="N19" s="325">
        <v>0.72</v>
      </c>
      <c r="O19" s="325">
        <v>0.75</v>
      </c>
      <c r="P19" s="324"/>
      <c r="Q19" s="324"/>
      <c r="R19" s="325" t="s">
        <v>283</v>
      </c>
      <c r="S19" s="325" t="s">
        <v>92</v>
      </c>
      <c r="T19" s="325">
        <v>0.23</v>
      </c>
      <c r="U19" s="325">
        <v>0.24</v>
      </c>
      <c r="V19" s="325">
        <v>0.25</v>
      </c>
      <c r="W19" s="325">
        <v>0.27</v>
      </c>
      <c r="X19" s="325">
        <v>0.27</v>
      </c>
      <c r="Y19" s="325">
        <v>0.28000000000000003</v>
      </c>
      <c r="Z19" s="325">
        <v>0.28000000000000003</v>
      </c>
      <c r="AA19" s="325">
        <v>0.28000000000000003</v>
      </c>
      <c r="AB19" s="325">
        <v>0.28000000000000003</v>
      </c>
      <c r="AC19" s="325">
        <v>0.28999999999999998</v>
      </c>
      <c r="AD19" s="325">
        <v>0.3</v>
      </c>
      <c r="AE19" s="325">
        <v>0.31</v>
      </c>
    </row>
    <row r="20" spans="1:31">
      <c r="A20" s="277" t="s">
        <v>224</v>
      </c>
      <c r="B20" s="347" t="s">
        <v>284</v>
      </c>
      <c r="C20" s="347" t="s">
        <v>92</v>
      </c>
      <c r="D20" s="324">
        <v>1.38</v>
      </c>
      <c r="E20" s="324">
        <v>1.42</v>
      </c>
      <c r="F20" s="324">
        <v>1.5</v>
      </c>
      <c r="G20" s="324">
        <v>1.58</v>
      </c>
      <c r="H20" s="324">
        <v>1.62</v>
      </c>
      <c r="I20" s="324">
        <v>1.66</v>
      </c>
      <c r="J20" s="324">
        <v>1.67</v>
      </c>
      <c r="K20" s="324">
        <v>1.69</v>
      </c>
      <c r="L20" s="324">
        <v>1.7</v>
      </c>
      <c r="M20" s="324">
        <v>1.73</v>
      </c>
      <c r="N20" s="324">
        <v>1.8</v>
      </c>
      <c r="O20" s="324">
        <v>1.87</v>
      </c>
      <c r="P20" s="324"/>
      <c r="Q20" s="324"/>
      <c r="R20" s="324" t="s">
        <v>284</v>
      </c>
      <c r="S20" s="324" t="s">
        <v>92</v>
      </c>
      <c r="T20" s="324">
        <v>0.17872244714349977</v>
      </c>
      <c r="U20" s="324">
        <v>0.18488529014844804</v>
      </c>
      <c r="V20" s="324">
        <v>0.19412955465587045</v>
      </c>
      <c r="W20" s="324">
        <v>0.20337381916329286</v>
      </c>
      <c r="X20" s="324">
        <v>0.20953666216824116</v>
      </c>
      <c r="Y20" s="324">
        <v>0.21261808367071525</v>
      </c>
      <c r="Z20" s="324">
        <v>0.21569950517318939</v>
      </c>
      <c r="AA20" s="324">
        <v>0.21878092667566351</v>
      </c>
      <c r="AB20" s="324">
        <v>0.21878092667566351</v>
      </c>
      <c r="AC20" s="324">
        <v>0.2249437696806118</v>
      </c>
      <c r="AD20" s="324">
        <v>0.23418803418803422</v>
      </c>
      <c r="AE20" s="324">
        <v>0.24035087719298248</v>
      </c>
    </row>
    <row r="21" spans="1:31">
      <c r="A21" s="276" t="s">
        <v>223</v>
      </c>
      <c r="B21" s="350" t="s">
        <v>333</v>
      </c>
      <c r="C21" s="324" t="s">
        <v>92</v>
      </c>
      <c r="D21" s="324">
        <v>0.42523616734143049</v>
      </c>
      <c r="E21" s="324">
        <v>0.43756185335132702</v>
      </c>
      <c r="F21" s="324">
        <v>0.46221322537112014</v>
      </c>
      <c r="G21" s="324">
        <v>0.48686459739091326</v>
      </c>
      <c r="H21" s="324">
        <v>0.49919028340080979</v>
      </c>
      <c r="I21" s="324">
        <v>0.51151596941070632</v>
      </c>
      <c r="J21" s="324">
        <v>0.51459739091318035</v>
      </c>
      <c r="K21" s="324">
        <v>0.52076023391812865</v>
      </c>
      <c r="L21" s="324">
        <v>0.52384165542060279</v>
      </c>
      <c r="M21" s="324">
        <v>0.53308591992802523</v>
      </c>
      <c r="N21" s="324">
        <v>0.55465587044534415</v>
      </c>
      <c r="O21" s="324">
        <v>0.57622582096266317</v>
      </c>
      <c r="P21" s="324"/>
      <c r="Q21" s="324"/>
      <c r="R21" s="350" t="s">
        <v>333</v>
      </c>
      <c r="S21" s="324" t="s">
        <v>92</v>
      </c>
      <c r="T21" s="324">
        <v>0.40127755285650024</v>
      </c>
      <c r="U21" s="324">
        <v>0.41511470985155202</v>
      </c>
      <c r="V21" s="324">
        <v>0.43587044534412961</v>
      </c>
      <c r="W21" s="324">
        <v>0.45662618083670725</v>
      </c>
      <c r="X21" s="324">
        <v>0.47046333783175898</v>
      </c>
      <c r="Y21" s="324">
        <v>0.47738191632928478</v>
      </c>
      <c r="Z21" s="324">
        <v>0.48430049482681065</v>
      </c>
      <c r="AA21" s="324">
        <v>0.49121907332433651</v>
      </c>
      <c r="AB21" s="324">
        <v>0.49121907332433651</v>
      </c>
      <c r="AC21" s="324">
        <v>0.50505623031938829</v>
      </c>
      <c r="AD21" s="324">
        <v>0.52581196581196588</v>
      </c>
      <c r="AE21" s="324">
        <v>0.5396491228070176</v>
      </c>
    </row>
    <row r="22" spans="1:31">
      <c r="A22" s="277" t="s">
        <v>285</v>
      </c>
      <c r="B22" s="349" t="s">
        <v>224</v>
      </c>
      <c r="C22" s="349" t="s">
        <v>92</v>
      </c>
      <c r="D22" s="325">
        <v>0.95476383265856957</v>
      </c>
      <c r="E22" s="325">
        <v>0.98243814664867302</v>
      </c>
      <c r="F22" s="325">
        <v>1.03778677462888</v>
      </c>
      <c r="G22" s="325">
        <v>1.0931354026090869</v>
      </c>
      <c r="H22" s="325">
        <v>1.1208097165991906</v>
      </c>
      <c r="I22" s="325">
        <v>1.1484840305892938</v>
      </c>
      <c r="J22" s="325">
        <v>1.1554026090868197</v>
      </c>
      <c r="K22" s="325">
        <v>1.1692397660818714</v>
      </c>
      <c r="L22" s="325">
        <v>1.1761583445793973</v>
      </c>
      <c r="M22" s="325">
        <v>1.1969140800719749</v>
      </c>
      <c r="N22" s="325">
        <v>1.2453441295546561</v>
      </c>
      <c r="O22" s="325">
        <v>1.2937741790373372</v>
      </c>
      <c r="P22" s="324"/>
      <c r="Q22" s="324"/>
      <c r="R22" s="325" t="s">
        <v>224</v>
      </c>
      <c r="S22" s="325" t="s">
        <v>92</v>
      </c>
      <c r="T22" s="325">
        <v>0.11</v>
      </c>
      <c r="U22" s="325">
        <v>0.12</v>
      </c>
      <c r="V22" s="325">
        <v>0.11</v>
      </c>
      <c r="W22" s="325">
        <v>0.12</v>
      </c>
      <c r="X22" s="325">
        <v>0.12</v>
      </c>
      <c r="Y22" s="325">
        <v>0.12</v>
      </c>
      <c r="Z22" s="325">
        <v>0.12</v>
      </c>
      <c r="AA22" s="325">
        <v>0.12</v>
      </c>
      <c r="AB22" s="325">
        <v>0.12</v>
      </c>
      <c r="AC22" s="325">
        <v>0.12</v>
      </c>
      <c r="AD22" s="325">
        <v>0.13</v>
      </c>
      <c r="AE22" s="325">
        <v>0.13</v>
      </c>
    </row>
    <row r="23" spans="1:31">
      <c r="A23" s="276" t="s">
        <v>286</v>
      </c>
      <c r="B23" s="347" t="s">
        <v>223</v>
      </c>
      <c r="C23" s="347" t="s">
        <v>92</v>
      </c>
      <c r="D23" s="324">
        <v>0.18</v>
      </c>
      <c r="E23" s="324">
        <v>0.19</v>
      </c>
      <c r="F23" s="324">
        <v>0.21</v>
      </c>
      <c r="G23" s="324">
        <v>0.32</v>
      </c>
      <c r="H23" s="324">
        <v>0.38</v>
      </c>
      <c r="I23" s="324">
        <v>0.42</v>
      </c>
      <c r="J23" s="324">
        <v>0.46</v>
      </c>
      <c r="K23" s="324">
        <v>0.5</v>
      </c>
      <c r="L23" s="324">
        <v>0.55000000000000004</v>
      </c>
      <c r="M23" s="324">
        <v>0.61</v>
      </c>
      <c r="N23" s="324">
        <v>0.69</v>
      </c>
      <c r="O23" s="324">
        <v>0.77</v>
      </c>
      <c r="P23" s="324"/>
      <c r="Q23" s="324"/>
      <c r="R23" s="324" t="s">
        <v>223</v>
      </c>
      <c r="S23" s="324" t="s">
        <v>92</v>
      </c>
      <c r="T23" s="324">
        <v>0.09</v>
      </c>
      <c r="U23" s="324">
        <v>0.09</v>
      </c>
      <c r="V23" s="324">
        <v>0.1</v>
      </c>
      <c r="W23" s="324">
        <v>0.15</v>
      </c>
      <c r="X23" s="324">
        <v>0.18</v>
      </c>
      <c r="Y23" s="324">
        <v>0.2</v>
      </c>
      <c r="Z23" s="324">
        <v>0.22</v>
      </c>
      <c r="AA23" s="324">
        <v>0.24</v>
      </c>
      <c r="AB23" s="324">
        <v>0.26</v>
      </c>
      <c r="AC23" s="324">
        <v>0.28999999999999998</v>
      </c>
      <c r="AD23" s="324">
        <v>0.33</v>
      </c>
      <c r="AE23" s="324">
        <v>0.37</v>
      </c>
    </row>
    <row r="24" spans="1:31">
      <c r="A24" s="277" t="s">
        <v>287</v>
      </c>
      <c r="B24" s="349" t="s">
        <v>285</v>
      </c>
      <c r="C24" s="349" t="s">
        <v>40</v>
      </c>
      <c r="D24" s="325">
        <v>2</v>
      </c>
      <c r="E24" s="325">
        <v>1.4</v>
      </c>
      <c r="F24" s="325">
        <v>1.22</v>
      </c>
      <c r="G24" s="325">
        <v>1.21</v>
      </c>
      <c r="H24" s="325">
        <v>1.24</v>
      </c>
      <c r="I24" s="325">
        <v>1.29</v>
      </c>
      <c r="J24" s="325">
        <v>1.36</v>
      </c>
      <c r="K24" s="325">
        <v>1.45</v>
      </c>
      <c r="L24" s="325">
        <v>1.54</v>
      </c>
      <c r="M24" s="325">
        <v>1.64</v>
      </c>
      <c r="N24" s="325">
        <v>1.73</v>
      </c>
      <c r="O24" s="325">
        <v>1.83</v>
      </c>
      <c r="P24" s="324"/>
      <c r="Q24" s="324"/>
      <c r="R24" s="325" t="s">
        <v>285</v>
      </c>
      <c r="S24" s="325" t="s">
        <v>40</v>
      </c>
      <c r="T24" s="325">
        <v>3.86</v>
      </c>
      <c r="U24" s="325">
        <v>2.71</v>
      </c>
      <c r="V24" s="325">
        <v>2.4</v>
      </c>
      <c r="W24" s="325">
        <v>2.5</v>
      </c>
      <c r="X24" s="325">
        <v>2.58</v>
      </c>
      <c r="Y24" s="325">
        <v>2.66</v>
      </c>
      <c r="Z24" s="325">
        <v>2.77</v>
      </c>
      <c r="AA24" s="325">
        <v>2.91</v>
      </c>
      <c r="AB24" s="325">
        <v>3.02</v>
      </c>
      <c r="AC24" s="325">
        <v>3.1</v>
      </c>
      <c r="AD24" s="325">
        <v>3.19</v>
      </c>
      <c r="AE24" s="325">
        <v>3.28</v>
      </c>
    </row>
    <row r="25" spans="1:31">
      <c r="A25" s="276" t="s">
        <v>288</v>
      </c>
      <c r="B25" s="347" t="s">
        <v>286</v>
      </c>
      <c r="C25" s="347" t="s">
        <v>40</v>
      </c>
      <c r="D25" s="324">
        <v>9.6999999999999993</v>
      </c>
      <c r="E25" s="324">
        <v>8.8000000000000007</v>
      </c>
      <c r="F25" s="324">
        <v>9.18</v>
      </c>
      <c r="G25" s="324">
        <v>8.8699999999999992</v>
      </c>
      <c r="H25" s="324">
        <v>8.43</v>
      </c>
      <c r="I25" s="324">
        <v>8.07</v>
      </c>
      <c r="J25" s="324">
        <v>8.32</v>
      </c>
      <c r="K25" s="324">
        <v>8.7100000000000009</v>
      </c>
      <c r="L25" s="324">
        <v>9.66</v>
      </c>
      <c r="M25" s="324">
        <v>10.72</v>
      </c>
      <c r="N25" s="324">
        <v>11.89</v>
      </c>
      <c r="O25" s="324">
        <v>13.18</v>
      </c>
      <c r="P25" s="324"/>
      <c r="Q25" s="324"/>
      <c r="R25" s="324" t="s">
        <v>286</v>
      </c>
      <c r="S25" s="324" t="s">
        <v>40</v>
      </c>
      <c r="T25" s="324">
        <v>2.71</v>
      </c>
      <c r="U25" s="324">
        <v>2.46</v>
      </c>
      <c r="V25" s="324">
        <v>2.56</v>
      </c>
      <c r="W25" s="324">
        <v>2.48</v>
      </c>
      <c r="X25" s="324">
        <v>2.35</v>
      </c>
      <c r="Y25" s="324">
        <v>2.25</v>
      </c>
      <c r="Z25" s="324">
        <v>2.3199999999999998</v>
      </c>
      <c r="AA25" s="324">
        <v>2.4300000000000002</v>
      </c>
      <c r="AB25" s="324">
        <v>2.7</v>
      </c>
      <c r="AC25" s="324">
        <v>2.99</v>
      </c>
      <c r="AD25" s="324">
        <v>3.32</v>
      </c>
      <c r="AE25" s="324">
        <v>3.68</v>
      </c>
    </row>
    <row r="26" spans="1:31">
      <c r="A26" s="277" t="s">
        <v>289</v>
      </c>
      <c r="B26" s="349" t="s">
        <v>287</v>
      </c>
      <c r="C26" s="349" t="s">
        <v>40</v>
      </c>
      <c r="D26" s="325">
        <v>8.19</v>
      </c>
      <c r="E26" s="325">
        <v>8.9600000000000009</v>
      </c>
      <c r="F26" s="325">
        <v>10.71</v>
      </c>
      <c r="G26" s="325">
        <v>11.2</v>
      </c>
      <c r="H26" s="325">
        <v>12.16</v>
      </c>
      <c r="I26" s="325">
        <v>13.49</v>
      </c>
      <c r="J26" s="325">
        <v>14.03</v>
      </c>
      <c r="K26" s="325">
        <v>14.48</v>
      </c>
      <c r="L26" s="325">
        <v>14.92</v>
      </c>
      <c r="M26" s="325">
        <v>15.07</v>
      </c>
      <c r="N26" s="325">
        <v>15.1</v>
      </c>
      <c r="O26" s="325">
        <v>15.12</v>
      </c>
      <c r="P26" s="324"/>
      <c r="Q26" s="324"/>
      <c r="R26" s="325" t="s">
        <v>287</v>
      </c>
      <c r="S26" s="325" t="s">
        <v>40</v>
      </c>
      <c r="T26" s="325">
        <v>4.22</v>
      </c>
      <c r="U26" s="325">
        <v>4.62</v>
      </c>
      <c r="V26" s="325">
        <v>5.52</v>
      </c>
      <c r="W26" s="325">
        <v>5.77</v>
      </c>
      <c r="X26" s="325">
        <v>6.27</v>
      </c>
      <c r="Y26" s="325">
        <v>6.95</v>
      </c>
      <c r="Z26" s="325">
        <v>7.23</v>
      </c>
      <c r="AA26" s="325">
        <v>7.46</v>
      </c>
      <c r="AB26" s="325">
        <v>7.69</v>
      </c>
      <c r="AC26" s="325">
        <v>7.76</v>
      </c>
      <c r="AD26" s="325">
        <v>7.78</v>
      </c>
      <c r="AE26" s="325">
        <v>7.79</v>
      </c>
    </row>
    <row r="27" spans="1:31">
      <c r="A27" s="276" t="s">
        <v>290</v>
      </c>
      <c r="B27" s="347" t="s">
        <v>288</v>
      </c>
      <c r="C27" s="347" t="s">
        <v>40</v>
      </c>
      <c r="D27" s="324">
        <v>32.29</v>
      </c>
      <c r="E27" s="324">
        <v>38.85</v>
      </c>
      <c r="F27" s="324">
        <v>45.72</v>
      </c>
      <c r="G27" s="324">
        <v>47.69</v>
      </c>
      <c r="H27" s="324">
        <v>51.59</v>
      </c>
      <c r="I27" s="324">
        <v>57.53</v>
      </c>
      <c r="J27" s="324">
        <v>60.13</v>
      </c>
      <c r="K27" s="324">
        <v>61.68</v>
      </c>
      <c r="L27" s="324">
        <v>63.98</v>
      </c>
      <c r="M27" s="324">
        <v>65.08</v>
      </c>
      <c r="N27" s="324">
        <v>65.650000000000006</v>
      </c>
      <c r="O27" s="324">
        <v>66.23</v>
      </c>
      <c r="P27" s="324"/>
      <c r="Q27" s="324"/>
      <c r="R27" s="324" t="s">
        <v>288</v>
      </c>
      <c r="S27" s="324" t="s">
        <v>40</v>
      </c>
      <c r="T27" s="324">
        <v>8.07</v>
      </c>
      <c r="U27" s="324">
        <v>9.7100000000000009</v>
      </c>
      <c r="V27" s="324">
        <v>11.43</v>
      </c>
      <c r="W27" s="324">
        <v>11.92</v>
      </c>
      <c r="X27" s="324">
        <v>12.9</v>
      </c>
      <c r="Y27" s="324">
        <v>14.38</v>
      </c>
      <c r="Z27" s="324">
        <v>15.03</v>
      </c>
      <c r="AA27" s="324">
        <v>15.42</v>
      </c>
      <c r="AB27" s="324">
        <v>15.99</v>
      </c>
      <c r="AC27" s="324">
        <v>16.27</v>
      </c>
      <c r="AD27" s="324">
        <v>16.41</v>
      </c>
      <c r="AE27" s="324">
        <v>16.559999999999999</v>
      </c>
    </row>
    <row r="28" spans="1:31">
      <c r="B28" s="349" t="s">
        <v>289</v>
      </c>
      <c r="C28" s="349" t="s">
        <v>40</v>
      </c>
      <c r="D28" s="325">
        <v>1.37</v>
      </c>
      <c r="E28" s="325">
        <v>1.27</v>
      </c>
      <c r="F28" s="325">
        <v>1.17</v>
      </c>
      <c r="G28" s="325">
        <v>1.24</v>
      </c>
      <c r="H28" s="325">
        <v>1.28</v>
      </c>
      <c r="I28" s="325">
        <v>1.32</v>
      </c>
      <c r="J28" s="325">
        <v>1.36</v>
      </c>
      <c r="K28" s="325">
        <v>1.4</v>
      </c>
      <c r="L28" s="325">
        <v>1.45</v>
      </c>
      <c r="M28" s="325">
        <v>1.52</v>
      </c>
      <c r="N28" s="325">
        <v>1.59</v>
      </c>
      <c r="O28" s="325">
        <v>1.66</v>
      </c>
      <c r="P28" s="324"/>
      <c r="Q28" s="324"/>
      <c r="R28" s="325" t="s">
        <v>289</v>
      </c>
      <c r="S28" s="325" t="s">
        <v>40</v>
      </c>
      <c r="T28" s="325">
        <v>0.48</v>
      </c>
      <c r="U28" s="325">
        <v>0.45</v>
      </c>
      <c r="V28" s="325">
        <v>0.41</v>
      </c>
      <c r="W28" s="325">
        <v>0.4</v>
      </c>
      <c r="X28" s="325">
        <v>0.41</v>
      </c>
      <c r="Y28" s="325">
        <v>0.42</v>
      </c>
      <c r="Z28" s="325">
        <v>0.44</v>
      </c>
      <c r="AA28" s="325">
        <v>0.46</v>
      </c>
      <c r="AB28" s="325">
        <v>0.48</v>
      </c>
      <c r="AC28" s="325">
        <v>0.49</v>
      </c>
      <c r="AD28" s="325">
        <v>0.51</v>
      </c>
      <c r="AE28" s="325">
        <v>0.52</v>
      </c>
    </row>
    <row r="29" spans="1:31">
      <c r="B29" s="347" t="s">
        <v>290</v>
      </c>
      <c r="C29" s="347" t="s">
        <v>40</v>
      </c>
      <c r="D29" s="324">
        <v>0.6</v>
      </c>
      <c r="E29" s="324">
        <v>0.33</v>
      </c>
      <c r="F29" s="324">
        <v>0.35</v>
      </c>
      <c r="G29" s="324">
        <v>0.43</v>
      </c>
      <c r="H29" s="324">
        <v>0.82</v>
      </c>
      <c r="I29" s="324">
        <v>1.21</v>
      </c>
      <c r="J29" s="324">
        <v>1.39</v>
      </c>
      <c r="K29" s="324">
        <v>1.51</v>
      </c>
      <c r="L29" s="324">
        <v>1.62</v>
      </c>
      <c r="M29" s="324">
        <v>1.74</v>
      </c>
      <c r="N29" s="324">
        <v>1.92</v>
      </c>
      <c r="O29" s="324">
        <v>2.11</v>
      </c>
      <c r="P29" s="324"/>
      <c r="Q29" s="324"/>
      <c r="R29" s="324" t="s">
        <v>290</v>
      </c>
      <c r="S29" s="324" t="s">
        <v>40</v>
      </c>
      <c r="T29" s="324">
        <v>0</v>
      </c>
      <c r="U29" s="324">
        <v>0</v>
      </c>
      <c r="V29" s="324">
        <v>0</v>
      </c>
      <c r="W29" s="324">
        <v>0</v>
      </c>
      <c r="X29" s="324">
        <v>0</v>
      </c>
      <c r="Y29" s="324">
        <v>0</v>
      </c>
      <c r="Z29" s="324">
        <v>0</v>
      </c>
      <c r="AA29" s="324">
        <v>0</v>
      </c>
      <c r="AB29" s="324">
        <v>0</v>
      </c>
      <c r="AC29" s="324">
        <v>0</v>
      </c>
      <c r="AD29" s="324">
        <v>0</v>
      </c>
      <c r="AE29" s="324">
        <v>0</v>
      </c>
    </row>
    <row r="36" spans="10:13">
      <c r="L36" s="276" t="s">
        <v>292</v>
      </c>
      <c r="M36" s="276" t="s">
        <v>293</v>
      </c>
    </row>
    <row r="37" spans="10:13">
      <c r="J37" s="276" t="s">
        <v>205</v>
      </c>
      <c r="K37" s="276" t="s">
        <v>206</v>
      </c>
      <c r="L37" s="276">
        <v>0.74133047237566796</v>
      </c>
    </row>
    <row r="38" spans="10:13">
      <c r="J38" s="276" t="s">
        <v>214</v>
      </c>
      <c r="K38" s="276" t="s">
        <v>215</v>
      </c>
      <c r="L38" s="276">
        <v>0.70579966949183226</v>
      </c>
    </row>
    <row r="39" spans="10:13">
      <c r="J39" s="276" t="s">
        <v>217</v>
      </c>
      <c r="K39" s="276" t="s">
        <v>218</v>
      </c>
      <c r="L39" s="276">
        <v>0.70448204835116923</v>
      </c>
    </row>
    <row r="40" spans="10:13">
      <c r="J40" s="276" t="s">
        <v>219</v>
      </c>
      <c r="K40" s="276" t="s">
        <v>220</v>
      </c>
      <c r="L40" s="276">
        <v>0.70448204835116923</v>
      </c>
    </row>
    <row r="41" spans="10:13">
      <c r="K41" s="276" t="s">
        <v>224</v>
      </c>
      <c r="L41" s="276">
        <v>0.72394704223382245</v>
      </c>
    </row>
    <row r="42" spans="10:13">
      <c r="J42" s="276" t="s">
        <v>222</v>
      </c>
      <c r="K42" s="276" t="s">
        <v>223</v>
      </c>
      <c r="L42" s="276">
        <v>0.67564531292204155</v>
      </c>
    </row>
    <row r="43" spans="10:13">
      <c r="J43" s="276" t="s">
        <v>226</v>
      </c>
      <c r="K43" s="276" t="s">
        <v>294</v>
      </c>
      <c r="L43" s="276">
        <v>0.66</v>
      </c>
    </row>
    <row r="44" spans="10:13">
      <c r="J44" s="276" t="s">
        <v>228</v>
      </c>
      <c r="K44" s="276" t="s">
        <v>294</v>
      </c>
      <c r="L44" s="276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80"/>
  <sheetViews>
    <sheetView zoomScale="80" zoomScaleNormal="80" workbookViewId="0">
      <selection activeCell="S42" sqref="S42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21.7109375" style="2" customWidth="1"/>
    <col min="5" max="5" width="32.7109375" style="2" customWidth="1"/>
    <col min="6" max="44" width="10.42578125" style="2" customWidth="1"/>
    <col min="45" max="16384" width="9.140625" style="2"/>
  </cols>
  <sheetData>
    <row r="1" spans="1:19" ht="36" customHeight="1">
      <c r="A1" s="43" t="s">
        <v>77</v>
      </c>
    </row>
    <row r="2" spans="1:19" ht="15.75" customHeight="1"/>
    <row r="3" spans="1:19" ht="15.75" customHeight="1"/>
    <row r="4" spans="1:19" s="5" customFormat="1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19" s="5" customFormat="1" ht="15.75" customHeight="1">
      <c r="B5" s="37" t="s">
        <v>68</v>
      </c>
      <c r="C5" s="3"/>
      <c r="D5" s="4"/>
      <c r="E5" s="4"/>
      <c r="F5" s="4"/>
      <c r="G5" s="4"/>
      <c r="H5" s="4"/>
      <c r="I5" s="4"/>
      <c r="J5" s="4"/>
    </row>
    <row r="6" spans="1:19" ht="15.75" customHeight="1">
      <c r="B6" s="17" t="s">
        <v>7</v>
      </c>
      <c r="C6" s="18" t="s">
        <v>28</v>
      </c>
      <c r="D6" s="17" t="s">
        <v>0</v>
      </c>
      <c r="E6" s="17" t="s">
        <v>3</v>
      </c>
      <c r="F6" s="17" t="s">
        <v>4</v>
      </c>
      <c r="G6" s="17" t="s">
        <v>8</v>
      </c>
      <c r="H6" s="17" t="s">
        <v>9</v>
      </c>
      <c r="I6" s="17" t="s">
        <v>10</v>
      </c>
      <c r="J6" s="17" t="s">
        <v>12</v>
      </c>
    </row>
    <row r="7" spans="1:19" ht="33.75" customHeight="1">
      <c r="B7" s="19" t="s">
        <v>32</v>
      </c>
      <c r="C7" s="19" t="s">
        <v>29</v>
      </c>
      <c r="D7" s="19" t="s">
        <v>24</v>
      </c>
      <c r="E7" s="19" t="s">
        <v>25</v>
      </c>
      <c r="F7" s="19" t="s">
        <v>4</v>
      </c>
      <c r="G7" s="19" t="s">
        <v>35</v>
      </c>
      <c r="H7" s="19" t="s">
        <v>36</v>
      </c>
      <c r="I7" s="19" t="s">
        <v>26</v>
      </c>
      <c r="J7" s="19" t="s">
        <v>27</v>
      </c>
    </row>
    <row r="8" spans="1:19" ht="15.75" customHeight="1">
      <c r="B8" s="21" t="s">
        <v>39</v>
      </c>
      <c r="C8" s="21" t="s">
        <v>276</v>
      </c>
      <c r="D8" s="38" t="s">
        <v>53</v>
      </c>
      <c r="E8" s="39" t="s">
        <v>57</v>
      </c>
      <c r="F8" s="21" t="s">
        <v>40</v>
      </c>
      <c r="G8" s="21" t="s">
        <v>165</v>
      </c>
      <c r="H8" s="21" t="s">
        <v>50</v>
      </c>
      <c r="I8" s="22"/>
      <c r="J8" s="22"/>
      <c r="K8" s="5"/>
      <c r="L8" s="5"/>
      <c r="M8" s="5"/>
      <c r="N8" s="10"/>
      <c r="O8" s="5"/>
      <c r="P8" s="5"/>
      <c r="Q8" s="5"/>
      <c r="R8" s="5"/>
      <c r="S8" s="5"/>
    </row>
    <row r="9" spans="1:19" ht="15.75" customHeight="1">
      <c r="B9" s="21" t="s">
        <v>39</v>
      </c>
      <c r="C9" s="21" t="s">
        <v>276</v>
      </c>
      <c r="D9" s="38" t="s">
        <v>54</v>
      </c>
      <c r="E9" s="39" t="s">
        <v>58</v>
      </c>
      <c r="F9" s="21" t="s">
        <v>40</v>
      </c>
      <c r="G9" s="21" t="s">
        <v>165</v>
      </c>
      <c r="H9" s="21" t="s">
        <v>50</v>
      </c>
      <c r="I9" s="22"/>
      <c r="J9" s="22"/>
      <c r="L9" s="11"/>
      <c r="M9" s="11"/>
      <c r="N9" s="12"/>
    </row>
    <row r="10" spans="1:19" ht="15.75" customHeight="1">
      <c r="B10" s="21" t="s">
        <v>39</v>
      </c>
      <c r="C10" s="21" t="s">
        <v>276</v>
      </c>
      <c r="D10" s="38" t="s">
        <v>62</v>
      </c>
      <c r="E10" s="39" t="s">
        <v>59</v>
      </c>
      <c r="F10" s="21" t="s">
        <v>40</v>
      </c>
      <c r="G10" s="21" t="s">
        <v>165</v>
      </c>
      <c r="H10" s="21" t="s">
        <v>50</v>
      </c>
      <c r="I10" s="22"/>
      <c r="J10" s="22"/>
      <c r="L10" s="11"/>
      <c r="M10" s="11"/>
      <c r="N10" s="12"/>
    </row>
    <row r="11" spans="1:19" ht="15.75" customHeight="1">
      <c r="B11" s="21" t="s">
        <v>39</v>
      </c>
      <c r="C11" s="21" t="s">
        <v>276</v>
      </c>
      <c r="D11" s="38" t="s">
        <v>63</v>
      </c>
      <c r="E11" s="39" t="s">
        <v>60</v>
      </c>
      <c r="F11" s="21" t="s">
        <v>40</v>
      </c>
      <c r="G11" s="21" t="s">
        <v>165</v>
      </c>
      <c r="H11" s="21" t="s">
        <v>50</v>
      </c>
      <c r="I11" s="22"/>
      <c r="J11" s="22"/>
      <c r="L11" s="11"/>
      <c r="M11" s="11"/>
      <c r="N11" s="12"/>
    </row>
    <row r="12" spans="1:19" ht="15.75" customHeight="1">
      <c r="B12" s="21" t="s">
        <v>39</v>
      </c>
      <c r="C12" s="21" t="s">
        <v>276</v>
      </c>
      <c r="D12" s="38" t="s">
        <v>64</v>
      </c>
      <c r="E12" s="39" t="s">
        <v>61</v>
      </c>
      <c r="F12" s="21" t="s">
        <v>40</v>
      </c>
      <c r="G12" s="21" t="s">
        <v>165</v>
      </c>
      <c r="H12" s="21" t="s">
        <v>50</v>
      </c>
      <c r="I12" s="22"/>
      <c r="J12" s="22"/>
      <c r="L12" s="11"/>
      <c r="M12" s="11"/>
      <c r="N12" s="12"/>
    </row>
    <row r="13" spans="1:19" ht="15.75" customHeight="1">
      <c r="B13" s="21" t="s">
        <v>39</v>
      </c>
      <c r="C13" s="21" t="s">
        <v>276</v>
      </c>
      <c r="D13" s="40" t="s">
        <v>71</v>
      </c>
      <c r="E13" s="39" t="s">
        <v>75</v>
      </c>
      <c r="F13" s="21" t="s">
        <v>40</v>
      </c>
      <c r="G13" s="21" t="s">
        <v>165</v>
      </c>
      <c r="H13" s="21" t="s">
        <v>50</v>
      </c>
      <c r="I13" s="22"/>
      <c r="J13" s="22"/>
      <c r="L13" s="11"/>
      <c r="M13" s="11"/>
      <c r="N13" s="12"/>
    </row>
    <row r="14" spans="1:19" ht="15.75" customHeight="1">
      <c r="B14" s="21" t="s">
        <v>39</v>
      </c>
      <c r="C14" s="21" t="s">
        <v>276</v>
      </c>
      <c r="D14" s="40" t="s">
        <v>79</v>
      </c>
      <c r="E14" s="39" t="s">
        <v>76</v>
      </c>
      <c r="F14" s="21" t="s">
        <v>40</v>
      </c>
      <c r="G14" s="21" t="s">
        <v>165</v>
      </c>
      <c r="H14" s="21" t="s">
        <v>168</v>
      </c>
      <c r="I14" s="22"/>
      <c r="J14" s="22"/>
      <c r="L14" s="11"/>
      <c r="M14" s="11"/>
      <c r="N14" s="12"/>
    </row>
    <row r="15" spans="1:19" ht="15.75" customHeight="1">
      <c r="B15" s="21" t="s">
        <v>39</v>
      </c>
      <c r="C15" s="21" t="s">
        <v>276</v>
      </c>
      <c r="D15" s="40" t="s">
        <v>55</v>
      </c>
      <c r="E15" s="39" t="s">
        <v>72</v>
      </c>
      <c r="F15" s="21" t="s">
        <v>40</v>
      </c>
      <c r="G15" s="21" t="s">
        <v>165</v>
      </c>
      <c r="H15" s="21" t="s">
        <v>168</v>
      </c>
      <c r="I15" s="22"/>
      <c r="J15" s="22" t="s">
        <v>84</v>
      </c>
      <c r="L15" s="11"/>
      <c r="M15" s="11"/>
      <c r="N15" s="12"/>
    </row>
    <row r="16" spans="1:19" ht="15.75" customHeight="1">
      <c r="B16" s="21" t="s">
        <v>39</v>
      </c>
      <c r="C16" s="21" t="s">
        <v>276</v>
      </c>
      <c r="D16" s="40" t="s">
        <v>108</v>
      </c>
      <c r="E16" s="39" t="s">
        <v>105</v>
      </c>
      <c r="F16" s="21" t="s">
        <v>40</v>
      </c>
      <c r="G16" s="21" t="s">
        <v>165</v>
      </c>
      <c r="H16" s="21" t="s">
        <v>50</v>
      </c>
      <c r="I16" s="22"/>
      <c r="J16" s="22"/>
      <c r="L16" s="11"/>
      <c r="M16" s="11"/>
      <c r="N16" s="12"/>
    </row>
    <row r="17" spans="1:10" ht="15.75" customHeight="1">
      <c r="B17" s="9" t="s">
        <v>47</v>
      </c>
      <c r="C17" s="21" t="s">
        <v>276</v>
      </c>
      <c r="D17" s="21" t="s">
        <v>65</v>
      </c>
      <c r="E17" s="40" t="s">
        <v>74</v>
      </c>
      <c r="F17" s="39" t="s">
        <v>51</v>
      </c>
      <c r="G17" s="21"/>
      <c r="H17" s="21" t="s">
        <v>50</v>
      </c>
      <c r="I17" s="22"/>
      <c r="J17" s="22"/>
    </row>
    <row r="18" spans="1:10" ht="15.75" customHeight="1">
      <c r="B18" s="9"/>
      <c r="C18" s="49"/>
      <c r="D18" s="49"/>
      <c r="E18" s="60"/>
      <c r="F18" s="51"/>
      <c r="G18" s="49"/>
      <c r="H18" s="49"/>
      <c r="I18" s="52"/>
      <c r="J18" s="52"/>
    </row>
    <row r="19" spans="1:10" ht="15.75" customHeight="1">
      <c r="A19" s="2" t="s">
        <v>104</v>
      </c>
    </row>
    <row r="20" spans="1:10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10" ht="15.75" customHeight="1">
      <c r="B21" s="37" t="s">
        <v>13</v>
      </c>
      <c r="C21" s="3"/>
      <c r="D21" s="4"/>
      <c r="E21" s="4"/>
      <c r="F21" s="4"/>
      <c r="G21" s="4"/>
      <c r="H21" s="4"/>
      <c r="I21" s="4"/>
      <c r="J21" s="4"/>
    </row>
    <row r="22" spans="1:10" ht="15.75" customHeight="1">
      <c r="B22" s="6" t="s">
        <v>11</v>
      </c>
      <c r="C22" s="7" t="s">
        <v>28</v>
      </c>
      <c r="D22" s="6" t="s">
        <v>1</v>
      </c>
      <c r="E22" s="6" t="s">
        <v>2</v>
      </c>
      <c r="F22" s="6" t="s">
        <v>14</v>
      </c>
      <c r="G22" s="6" t="s">
        <v>15</v>
      </c>
      <c r="H22" s="6" t="s">
        <v>16</v>
      </c>
      <c r="I22" s="6" t="s">
        <v>17</v>
      </c>
      <c r="J22" s="6" t="s">
        <v>18</v>
      </c>
    </row>
    <row r="23" spans="1:10" ht="15.75" customHeight="1" thickBot="1">
      <c r="B23" s="8" t="s">
        <v>33</v>
      </c>
      <c r="C23" s="8" t="s">
        <v>29</v>
      </c>
      <c r="D23" s="8" t="s">
        <v>19</v>
      </c>
      <c r="E23" s="8" t="s">
        <v>20</v>
      </c>
      <c r="F23" s="8" t="s">
        <v>21</v>
      </c>
      <c r="G23" s="8" t="s">
        <v>22</v>
      </c>
      <c r="H23" s="8" t="s">
        <v>38</v>
      </c>
      <c r="I23" s="8" t="s">
        <v>37</v>
      </c>
      <c r="J23" s="8" t="s">
        <v>23</v>
      </c>
    </row>
    <row r="24" spans="1:10" ht="15.75" customHeight="1">
      <c r="B24" s="16" t="s">
        <v>42</v>
      </c>
      <c r="C24" s="16"/>
      <c r="D24" s="16"/>
      <c r="E24" s="16"/>
      <c r="F24" s="16"/>
      <c r="G24" s="16"/>
      <c r="H24" s="16"/>
      <c r="I24" s="16"/>
      <c r="J24" s="16"/>
    </row>
    <row r="25" spans="1:10" ht="15.75" customHeight="1">
      <c r="B25" s="21" t="s">
        <v>89</v>
      </c>
      <c r="C25" s="21" t="s">
        <v>276</v>
      </c>
      <c r="D25" s="27" t="str">
        <f t="shared" ref="D25:D33" si="0">$A$19&amp;D8</f>
        <v>FTE_TRANGA</v>
      </c>
      <c r="E25" s="24" t="str">
        <f t="shared" ref="E25:E33" si="1">"Distribution of "&amp;E8</f>
        <v>Distribution of Transport Natural Gas</v>
      </c>
      <c r="F25" s="21" t="s">
        <v>40</v>
      </c>
      <c r="G25" s="21" t="s">
        <v>56</v>
      </c>
      <c r="H25" s="21" t="s">
        <v>50</v>
      </c>
      <c r="I25" s="21"/>
      <c r="J25" s="21"/>
    </row>
    <row r="26" spans="1:10" ht="15.75" customHeight="1">
      <c r="B26" s="21"/>
      <c r="C26" s="21" t="s">
        <v>276</v>
      </c>
      <c r="D26" s="27" t="str">
        <f t="shared" si="0"/>
        <v>FTE_TRABIL</v>
      </c>
      <c r="E26" s="24" t="str">
        <f t="shared" si="1"/>
        <v>Distribution of Transport Bio Liquids</v>
      </c>
      <c r="F26" s="21" t="s">
        <v>40</v>
      </c>
      <c r="G26" s="21" t="s">
        <v>56</v>
      </c>
      <c r="H26" s="21" t="s">
        <v>50</v>
      </c>
      <c r="I26" s="21"/>
      <c r="J26" s="21"/>
    </row>
    <row r="27" spans="1:10" ht="15.75" customHeight="1">
      <c r="B27" s="21"/>
      <c r="C27" s="21" t="s">
        <v>276</v>
      </c>
      <c r="D27" s="27" t="str">
        <f t="shared" si="0"/>
        <v>FTE_TRALPG</v>
      </c>
      <c r="E27" s="24" t="str">
        <f t="shared" si="1"/>
        <v>Distribution of Transport LPG</v>
      </c>
      <c r="F27" s="21" t="s">
        <v>40</v>
      </c>
      <c r="G27" s="21" t="s">
        <v>56</v>
      </c>
      <c r="H27" s="21" t="s">
        <v>50</v>
      </c>
      <c r="I27" s="21"/>
      <c r="J27" s="21"/>
    </row>
    <row r="28" spans="1:10" ht="15.75" customHeight="1">
      <c r="B28" s="21"/>
      <c r="C28" s="21" t="s">
        <v>276</v>
      </c>
      <c r="D28" s="27" t="str">
        <f t="shared" si="0"/>
        <v>FTE_TRAPET</v>
      </c>
      <c r="E28" s="24" t="str">
        <f t="shared" si="1"/>
        <v>Distribution of Transport Petrol</v>
      </c>
      <c r="F28" s="21" t="s">
        <v>40</v>
      </c>
      <c r="G28" s="21" t="s">
        <v>56</v>
      </c>
      <c r="H28" s="21" t="s">
        <v>50</v>
      </c>
      <c r="I28" s="21"/>
      <c r="J28" s="21"/>
    </row>
    <row r="29" spans="1:10" ht="15.75" customHeight="1">
      <c r="B29" s="21"/>
      <c r="C29" s="21" t="s">
        <v>276</v>
      </c>
      <c r="D29" s="27" t="str">
        <f t="shared" si="0"/>
        <v>FTE_TRADSL</v>
      </c>
      <c r="E29" s="24" t="str">
        <f t="shared" si="1"/>
        <v>Distribution of Transport Diesel</v>
      </c>
      <c r="F29" s="21" t="s">
        <v>40</v>
      </c>
      <c r="G29" s="21" t="s">
        <v>56</v>
      </c>
      <c r="H29" s="21" t="s">
        <v>50</v>
      </c>
      <c r="I29" s="21"/>
      <c r="J29" s="21"/>
    </row>
    <row r="30" spans="1:10" ht="15.75" customHeight="1">
      <c r="B30" s="28"/>
      <c r="C30" s="21" t="s">
        <v>276</v>
      </c>
      <c r="D30" s="27" t="str">
        <f t="shared" si="0"/>
        <v>FTE_TRAJET</v>
      </c>
      <c r="E30" s="53" t="str">
        <f t="shared" si="1"/>
        <v>Distribution of Transport Aviation fuel_Kero</v>
      </c>
      <c r="F30" s="21" t="s">
        <v>40</v>
      </c>
      <c r="G30" s="21" t="s">
        <v>56</v>
      </c>
      <c r="H30" s="21" t="s">
        <v>50</v>
      </c>
      <c r="I30" s="28"/>
      <c r="J30" s="28"/>
    </row>
    <row r="31" spans="1:10" ht="15.75" customHeight="1">
      <c r="B31" s="28" t="s">
        <v>321</v>
      </c>
      <c r="C31" s="21" t="s">
        <v>276</v>
      </c>
      <c r="D31" s="27" t="str">
        <f t="shared" si="0"/>
        <v>FTE_TRAH2R</v>
      </c>
      <c r="E31" s="24" t="str">
        <f t="shared" si="1"/>
        <v>Distribution of Transport jet Hydrogen</v>
      </c>
      <c r="F31" s="21" t="s">
        <v>40</v>
      </c>
      <c r="G31" s="21" t="s">
        <v>56</v>
      </c>
      <c r="H31" s="21" t="s">
        <v>168</v>
      </c>
      <c r="I31" s="28"/>
      <c r="J31" s="28"/>
    </row>
    <row r="32" spans="1:10" ht="15.75" customHeight="1">
      <c r="C32" s="21" t="s">
        <v>276</v>
      </c>
      <c r="D32" s="27" t="s">
        <v>177</v>
      </c>
      <c r="E32" s="24" t="str">
        <f t="shared" si="1"/>
        <v xml:space="preserve">Distribution of Transport electricity </v>
      </c>
      <c r="F32" s="21" t="s">
        <v>40</v>
      </c>
      <c r="G32" s="21" t="s">
        <v>73</v>
      </c>
      <c r="H32" s="21" t="s">
        <v>168</v>
      </c>
    </row>
    <row r="33" spans="2:15" ht="15.75" customHeight="1">
      <c r="C33" s="21" t="s">
        <v>276</v>
      </c>
      <c r="D33" s="27" t="str">
        <f t="shared" si="0"/>
        <v>FTE_TRAFOL</v>
      </c>
      <c r="E33" s="24" t="str">
        <f t="shared" si="1"/>
        <v>Distribution of Transport LFO</v>
      </c>
      <c r="F33" s="21" t="s">
        <v>40</v>
      </c>
      <c r="G33" s="21" t="s">
        <v>73</v>
      </c>
      <c r="H33" s="21" t="s">
        <v>50</v>
      </c>
    </row>
    <row r="34" spans="2:15" ht="15.75" customHeight="1"/>
    <row r="35" spans="2:15" ht="15.75" customHeight="1">
      <c r="D35" s="37" t="s">
        <v>69</v>
      </c>
      <c r="E35" s="13"/>
      <c r="F35" s="13"/>
    </row>
    <row r="36" spans="2:15" ht="15.75" customHeight="1">
      <c r="B36" s="14" t="s">
        <v>1</v>
      </c>
      <c r="C36" s="14" t="s">
        <v>5</v>
      </c>
      <c r="D36" s="14" t="s">
        <v>6</v>
      </c>
      <c r="E36" s="14" t="s">
        <v>173</v>
      </c>
      <c r="F36" s="14" t="s">
        <v>181</v>
      </c>
      <c r="G36" s="14" t="s">
        <v>174</v>
      </c>
      <c r="H36" s="14" t="s">
        <v>312</v>
      </c>
      <c r="I36" s="15" t="s">
        <v>43</v>
      </c>
      <c r="J36" s="15" t="s">
        <v>41</v>
      </c>
      <c r="K36" s="15" t="s">
        <v>81</v>
      </c>
      <c r="L36" s="15" t="s">
        <v>83</v>
      </c>
      <c r="M36" s="330" t="s">
        <v>323</v>
      </c>
    </row>
    <row r="37" spans="2:15" ht="15.75" customHeight="1">
      <c r="B37" s="20" t="s">
        <v>34</v>
      </c>
      <c r="C37" s="20" t="s">
        <v>30</v>
      </c>
      <c r="D37" s="20" t="s">
        <v>31</v>
      </c>
      <c r="E37" s="20"/>
      <c r="F37" s="20"/>
      <c r="G37" s="20"/>
      <c r="H37" s="20"/>
      <c r="I37" s="20" t="s">
        <v>44</v>
      </c>
      <c r="J37" s="20" t="s">
        <v>49</v>
      </c>
      <c r="K37" s="41"/>
      <c r="L37" s="41"/>
      <c r="M37" s="331"/>
    </row>
    <row r="38" spans="2:15" ht="15.75" customHeight="1">
      <c r="B38" s="20" t="s">
        <v>45</v>
      </c>
      <c r="C38" s="20"/>
      <c r="D38" s="20"/>
      <c r="E38" s="20"/>
      <c r="F38" s="20"/>
      <c r="G38" s="20"/>
      <c r="H38" s="20"/>
      <c r="I38" s="20"/>
      <c r="J38" s="20" t="s">
        <v>46</v>
      </c>
      <c r="K38" s="41" t="s">
        <v>317</v>
      </c>
      <c r="L38" s="41" t="s">
        <v>318</v>
      </c>
      <c r="M38" s="331"/>
    </row>
    <row r="39" spans="2:15" ht="15.75" customHeight="1">
      <c r="B39" s="27" t="str">
        <f t="shared" ref="B39:B42" si="2">+D25</f>
        <v>FTE_TRANGA</v>
      </c>
      <c r="C39" s="26" t="str">
        <f t="shared" ref="C39:C43" si="3">RIGHT(B39,3)</f>
        <v>NGA</v>
      </c>
      <c r="D39" s="26" t="str">
        <f>RIGHT(B39,6)</f>
        <v>TRANGA</v>
      </c>
      <c r="E39" s="26"/>
      <c r="F39" s="26"/>
      <c r="G39" s="26"/>
      <c r="H39" s="26"/>
      <c r="I39" s="25">
        <v>1</v>
      </c>
      <c r="J39" s="23">
        <v>60</v>
      </c>
      <c r="K39" s="42"/>
      <c r="L39" s="2">
        <f>4.2+0.746</f>
        <v>4.9459999999999997</v>
      </c>
    </row>
    <row r="40" spans="2:15" ht="15.75" customHeight="1">
      <c r="B40" s="27" t="str">
        <f t="shared" si="2"/>
        <v>FTE_TRABIL</v>
      </c>
      <c r="C40" s="26" t="str">
        <f t="shared" si="3"/>
        <v>BIL</v>
      </c>
      <c r="D40" s="26" t="str">
        <f t="shared" ref="D40:D48" si="4">RIGHT(B40,6)</f>
        <v>TRABIL</v>
      </c>
      <c r="E40" s="26"/>
      <c r="F40" s="26"/>
      <c r="G40" s="26"/>
      <c r="H40" s="58"/>
      <c r="I40" s="25">
        <v>1</v>
      </c>
      <c r="J40" s="23">
        <v>60</v>
      </c>
      <c r="K40" s="42"/>
      <c r="O40" s="2" t="s">
        <v>175</v>
      </c>
    </row>
    <row r="41" spans="2:15" ht="15.75" customHeight="1">
      <c r="B41" s="27" t="str">
        <f t="shared" si="2"/>
        <v>FTE_TRALPG</v>
      </c>
      <c r="C41" s="26" t="str">
        <f t="shared" si="3"/>
        <v>LPG</v>
      </c>
      <c r="D41" s="26" t="str">
        <f t="shared" si="4"/>
        <v>TRALPG</v>
      </c>
      <c r="E41" s="26"/>
      <c r="F41" s="26"/>
      <c r="G41" s="26"/>
      <c r="H41" s="26"/>
      <c r="I41" s="25">
        <v>1</v>
      </c>
      <c r="J41" s="23">
        <v>60</v>
      </c>
      <c r="K41" s="42"/>
      <c r="L41" s="2">
        <f>4.2+0.746</f>
        <v>4.9459999999999997</v>
      </c>
    </row>
    <row r="42" spans="2:15" ht="15.75" customHeight="1">
      <c r="B42" s="27" t="str">
        <f t="shared" si="2"/>
        <v>FTE_TRAPET</v>
      </c>
      <c r="C42" s="26" t="str">
        <f t="shared" si="3"/>
        <v>PET</v>
      </c>
      <c r="D42" s="26" t="str">
        <f t="shared" si="4"/>
        <v>TRAPET</v>
      </c>
      <c r="E42" s="26"/>
      <c r="F42" s="26"/>
      <c r="G42" s="26"/>
      <c r="H42" s="26"/>
      <c r="I42" s="25">
        <v>1</v>
      </c>
      <c r="J42" s="23">
        <v>60</v>
      </c>
      <c r="K42" s="42"/>
      <c r="L42" s="2">
        <v>0.92</v>
      </c>
    </row>
    <row r="43" spans="2:15" ht="15.75" customHeight="1">
      <c r="B43" s="27" t="str">
        <f>+D29</f>
        <v>FTE_TRADSL</v>
      </c>
      <c r="C43" s="26" t="str">
        <f t="shared" si="3"/>
        <v>DSL</v>
      </c>
      <c r="D43" s="26" t="str">
        <f t="shared" si="4"/>
        <v>TRADSL</v>
      </c>
      <c r="E43" s="26">
        <v>1</v>
      </c>
      <c r="F43" s="26">
        <v>1</v>
      </c>
      <c r="G43" s="26">
        <v>1</v>
      </c>
      <c r="H43" s="26"/>
      <c r="I43" s="25">
        <v>1</v>
      </c>
      <c r="J43" s="23">
        <v>60</v>
      </c>
      <c r="K43" s="42"/>
      <c r="L43" s="2">
        <v>0.92</v>
      </c>
    </row>
    <row r="44" spans="2:15" ht="15.75" customHeight="1">
      <c r="B44" s="27"/>
      <c r="C44" s="26" t="s">
        <v>163</v>
      </c>
      <c r="D44" s="26"/>
      <c r="E44" s="26">
        <v>0</v>
      </c>
      <c r="F44" s="26">
        <v>0.01</v>
      </c>
      <c r="G44" s="26">
        <v>0.1</v>
      </c>
      <c r="H44" s="58"/>
      <c r="I44" s="25"/>
      <c r="J44" s="23"/>
      <c r="K44" s="42"/>
    </row>
    <row r="45" spans="2:15" ht="15.75" customHeight="1">
      <c r="B45" s="27"/>
      <c r="C45" s="26" t="s">
        <v>322</v>
      </c>
      <c r="D45" s="26"/>
      <c r="E45" s="26">
        <v>1</v>
      </c>
      <c r="F45" s="26">
        <v>1</v>
      </c>
      <c r="G45" s="26">
        <v>1</v>
      </c>
      <c r="H45" s="58"/>
      <c r="I45" s="25"/>
      <c r="J45" s="23"/>
      <c r="K45" s="42"/>
      <c r="M45" s="2">
        <v>2.4</v>
      </c>
    </row>
    <row r="46" spans="2:15" ht="15.75" customHeight="1">
      <c r="B46" s="27" t="str">
        <f>+D30</f>
        <v>FTE_TRAJET</v>
      </c>
      <c r="C46" s="26" t="s">
        <v>106</v>
      </c>
      <c r="D46" s="26" t="str">
        <f t="shared" si="4"/>
        <v>TRAJET</v>
      </c>
      <c r="E46" s="26">
        <v>1</v>
      </c>
      <c r="F46" s="26">
        <v>1</v>
      </c>
      <c r="G46" s="26">
        <v>1</v>
      </c>
      <c r="H46" s="26"/>
      <c r="I46" s="25">
        <v>1</v>
      </c>
      <c r="J46" s="23">
        <v>60</v>
      </c>
      <c r="K46" s="42"/>
    </row>
    <row r="47" spans="2:15" ht="15.75" customHeight="1">
      <c r="B47" s="27"/>
      <c r="C47" s="26" t="s">
        <v>324</v>
      </c>
      <c r="D47" s="26"/>
      <c r="E47" s="26">
        <v>0.5</v>
      </c>
      <c r="F47" s="26">
        <v>0.5</v>
      </c>
      <c r="G47" s="26">
        <v>0.5</v>
      </c>
      <c r="H47" s="26"/>
      <c r="I47" s="25"/>
      <c r="J47" s="23"/>
      <c r="K47" s="42"/>
      <c r="M47" s="2">
        <v>2.4</v>
      </c>
    </row>
    <row r="48" spans="2:15" ht="15.75" customHeight="1">
      <c r="B48" s="27" t="s">
        <v>321</v>
      </c>
      <c r="C48" s="26" t="s">
        <v>86</v>
      </c>
      <c r="D48" s="26" t="str">
        <f t="shared" si="4"/>
        <v>\I:</v>
      </c>
      <c r="E48" s="26"/>
      <c r="F48" s="26"/>
      <c r="G48" s="26"/>
      <c r="H48" s="26">
        <v>31.536000000000001</v>
      </c>
      <c r="I48" s="25">
        <f>+I55</f>
        <v>0.37</v>
      </c>
      <c r="J48" s="23">
        <f>+J55</f>
        <v>20</v>
      </c>
      <c r="K48" s="42">
        <f>+L55</f>
        <v>100.40972222222221</v>
      </c>
    </row>
    <row r="49" spans="2:13" ht="15.75" customHeight="1">
      <c r="B49" s="27" t="str">
        <f>+D32</f>
        <v>G_ELC_T_00</v>
      </c>
      <c r="C49" s="26" t="s">
        <v>176</v>
      </c>
      <c r="D49" s="27" t="str">
        <f>+D15</f>
        <v>TRAELC</v>
      </c>
      <c r="E49" s="26"/>
      <c r="F49" s="26"/>
      <c r="G49" s="26"/>
      <c r="H49" s="26"/>
      <c r="I49" s="25">
        <v>1</v>
      </c>
      <c r="J49" s="23">
        <v>60</v>
      </c>
      <c r="K49" s="42"/>
    </row>
    <row r="50" spans="2:13" ht="15.75" customHeight="1">
      <c r="B50" s="27" t="str">
        <f>+D33</f>
        <v>FTE_TRAFOL</v>
      </c>
      <c r="C50" s="26" t="s">
        <v>107</v>
      </c>
      <c r="D50" s="26" t="str">
        <f t="shared" ref="D50" si="5">RIGHT(B50,6)</f>
        <v>TRAFOL</v>
      </c>
      <c r="E50" s="26"/>
      <c r="F50" s="26"/>
      <c r="G50" s="26"/>
      <c r="H50" s="26"/>
      <c r="I50" s="25">
        <v>1</v>
      </c>
      <c r="J50" s="23">
        <v>60</v>
      </c>
      <c r="K50" s="42"/>
    </row>
    <row r="51" spans="2:13" ht="15.75" customHeight="1"/>
    <row r="52" spans="2:13" ht="15.75" customHeight="1"/>
    <row r="53" spans="2:13" ht="15.75" customHeight="1">
      <c r="B53" s="315" t="s">
        <v>313</v>
      </c>
    </row>
    <row r="54" spans="2:13" ht="15.75" customHeight="1">
      <c r="B54" s="316" t="s">
        <v>1</v>
      </c>
      <c r="C54" s="316" t="s">
        <v>5</v>
      </c>
      <c r="D54" s="316" t="s">
        <v>6</v>
      </c>
      <c r="E54" s="316" t="s">
        <v>173</v>
      </c>
      <c r="F54" s="316" t="s">
        <v>314</v>
      </c>
      <c r="G54" s="316" t="s">
        <v>174</v>
      </c>
      <c r="H54" s="316" t="s">
        <v>164</v>
      </c>
      <c r="I54" s="317" t="s">
        <v>43</v>
      </c>
      <c r="J54" s="317" t="s">
        <v>41</v>
      </c>
      <c r="K54" s="317" t="s">
        <v>88</v>
      </c>
      <c r="L54" s="317" t="s">
        <v>316</v>
      </c>
      <c r="M54" s="332"/>
    </row>
    <row r="55" spans="2:13" ht="15.75" customHeight="1">
      <c r="B55" s="318" t="s">
        <v>315</v>
      </c>
      <c r="C55" s="319" t="s">
        <v>86</v>
      </c>
      <c r="D55" s="319" t="s">
        <v>79</v>
      </c>
      <c r="E55" s="319"/>
      <c r="F55" s="319"/>
      <c r="G55" s="319"/>
      <c r="H55" s="319"/>
      <c r="I55" s="320">
        <v>0.37</v>
      </c>
      <c r="J55" s="321">
        <v>20</v>
      </c>
      <c r="K55" s="322">
        <v>0</v>
      </c>
      <c r="L55" s="323">
        <v>100.40972222222221</v>
      </c>
      <c r="M55" s="323"/>
    </row>
    <row r="56" spans="2:13" ht="15.75" customHeight="1"/>
    <row r="57" spans="2:13" ht="15.75" customHeight="1"/>
    <row r="58" spans="2:13" ht="15.75" customHeight="1"/>
    <row r="59" spans="2:13" ht="15.75" customHeight="1"/>
    <row r="60" spans="2:13" ht="15.75" customHeight="1"/>
    <row r="61" spans="2:13" ht="15.75" customHeight="1"/>
    <row r="62" spans="2:13" ht="15.75" customHeight="1"/>
    <row r="63" spans="2:13" ht="15.75" customHeight="1"/>
    <row r="64" spans="2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G333"/>
  <sheetViews>
    <sheetView topLeftCell="A58" zoomScale="70" zoomScaleNormal="70" workbookViewId="0">
      <selection activeCell="V105" sqref="V105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55.42578125" style="2" customWidth="1"/>
    <col min="7" max="13" width="10.42578125" style="2" customWidth="1"/>
    <col min="14" max="15" width="11.28515625" style="2" customWidth="1"/>
    <col min="16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21" ht="21">
      <c r="B1" s="43" t="s">
        <v>78</v>
      </c>
    </row>
    <row r="2" spans="2:21" ht="15.75" customHeight="1"/>
    <row r="3" spans="2:21" ht="15.75" customHeight="1"/>
    <row r="4" spans="2:21" s="5" customFormat="1" ht="15.75" customHeight="1">
      <c r="D4" s="3"/>
      <c r="E4" s="4"/>
      <c r="F4" s="4"/>
      <c r="G4" s="4"/>
      <c r="H4" s="4"/>
      <c r="I4" s="4"/>
      <c r="J4" s="4"/>
      <c r="K4" s="4"/>
    </row>
    <row r="5" spans="2:21" s="5" customFormat="1" ht="15.75" customHeight="1">
      <c r="C5" s="37" t="s">
        <v>68</v>
      </c>
      <c r="D5" s="3"/>
      <c r="E5" s="4"/>
      <c r="F5" s="4"/>
      <c r="G5" s="4"/>
      <c r="H5" s="4"/>
      <c r="I5" s="4"/>
      <c r="J5" s="4"/>
      <c r="K5" s="4"/>
    </row>
    <row r="6" spans="2:21" ht="15.75" customHeight="1">
      <c r="C6" s="17" t="s">
        <v>7</v>
      </c>
      <c r="D6" s="18" t="s">
        <v>28</v>
      </c>
      <c r="E6" s="17" t="s">
        <v>0</v>
      </c>
      <c r="F6" s="17" t="s">
        <v>3</v>
      </c>
      <c r="G6" s="17" t="s">
        <v>4</v>
      </c>
      <c r="H6" s="17" t="s">
        <v>8</v>
      </c>
      <c r="I6" s="17" t="s">
        <v>9</v>
      </c>
      <c r="J6" s="17" t="s">
        <v>10</v>
      </c>
      <c r="K6" s="17" t="s">
        <v>12</v>
      </c>
    </row>
    <row r="7" spans="2:21" ht="33.75" customHeight="1">
      <c r="C7" s="280" t="s">
        <v>32</v>
      </c>
      <c r="D7" s="280" t="s">
        <v>29</v>
      </c>
      <c r="E7" s="280" t="s">
        <v>24</v>
      </c>
      <c r="F7" s="280" t="s">
        <v>25</v>
      </c>
      <c r="G7" s="280" t="s">
        <v>4</v>
      </c>
      <c r="H7" s="280" t="s">
        <v>35</v>
      </c>
      <c r="I7" s="280" t="s">
        <v>36</v>
      </c>
      <c r="J7" s="280" t="s">
        <v>310</v>
      </c>
      <c r="K7" s="280" t="s">
        <v>27</v>
      </c>
    </row>
    <row r="8" spans="2:21" ht="15.75" customHeight="1">
      <c r="C8" s="21" t="s">
        <v>66</v>
      </c>
      <c r="D8" s="21" t="s">
        <v>276</v>
      </c>
      <c r="E8" s="38" t="s">
        <v>85</v>
      </c>
      <c r="F8" s="21" t="s">
        <v>232</v>
      </c>
      <c r="G8" s="21" t="s">
        <v>92</v>
      </c>
      <c r="H8" s="21"/>
      <c r="I8" s="21"/>
      <c r="J8" s="22"/>
      <c r="K8" s="22"/>
      <c r="L8" s="5"/>
      <c r="M8" s="5"/>
      <c r="N8" s="10"/>
      <c r="O8" s="5"/>
      <c r="P8" s="5"/>
      <c r="Q8" s="5"/>
      <c r="R8" s="5"/>
      <c r="S8" s="5"/>
      <c r="T8" s="5"/>
      <c r="U8" s="5"/>
    </row>
    <row r="9" spans="2:21" ht="15.75" customHeight="1">
      <c r="C9" s="21"/>
      <c r="D9" s="21" t="s">
        <v>276</v>
      </c>
      <c r="E9" s="38" t="s">
        <v>182</v>
      </c>
      <c r="F9" s="21" t="s">
        <v>183</v>
      </c>
      <c r="G9" s="21" t="s">
        <v>92</v>
      </c>
      <c r="H9" s="21"/>
      <c r="I9" s="21"/>
      <c r="J9" s="22"/>
      <c r="K9" s="22"/>
      <c r="L9" s="5"/>
      <c r="M9" s="5"/>
      <c r="N9" s="10"/>
      <c r="O9" s="5"/>
      <c r="P9" s="5"/>
      <c r="Q9" s="5"/>
      <c r="R9" s="5"/>
      <c r="S9" s="5"/>
      <c r="T9" s="5"/>
      <c r="U9" s="5"/>
    </row>
    <row r="10" spans="2:21" ht="15.75" customHeight="1">
      <c r="C10" s="21"/>
      <c r="D10" s="21" t="s">
        <v>276</v>
      </c>
      <c r="E10" s="38" t="s">
        <v>91</v>
      </c>
      <c r="F10" s="21" t="s">
        <v>184</v>
      </c>
      <c r="G10" s="21" t="s">
        <v>92</v>
      </c>
      <c r="H10" s="21"/>
      <c r="I10" s="21"/>
      <c r="J10" s="22"/>
      <c r="K10" s="22"/>
      <c r="L10" s="5"/>
      <c r="M10" s="5"/>
      <c r="N10" s="10"/>
      <c r="O10" s="5"/>
      <c r="P10" s="5"/>
      <c r="Q10" s="5"/>
      <c r="R10" s="5"/>
      <c r="S10" s="5"/>
      <c r="T10" s="5"/>
      <c r="U10" s="5"/>
    </row>
    <row r="11" spans="2:21" ht="15.75" customHeight="1">
      <c r="C11" s="21"/>
      <c r="D11" s="21" t="s">
        <v>276</v>
      </c>
      <c r="E11" s="38" t="s">
        <v>90</v>
      </c>
      <c r="F11" s="21" t="s">
        <v>185</v>
      </c>
      <c r="G11" s="21" t="s">
        <v>92</v>
      </c>
      <c r="H11" s="21"/>
      <c r="I11" s="21"/>
      <c r="J11" s="22"/>
      <c r="K11" s="22"/>
      <c r="L11" s="5"/>
      <c r="M11" s="5"/>
      <c r="N11" s="10"/>
      <c r="O11" s="5"/>
      <c r="P11" s="5"/>
      <c r="Q11" s="5"/>
      <c r="R11" s="5"/>
      <c r="S11" s="5"/>
      <c r="T11" s="5"/>
      <c r="U11" s="5"/>
    </row>
    <row r="12" spans="2:21" ht="15.75" customHeight="1">
      <c r="C12" s="21"/>
      <c r="D12" s="21" t="s">
        <v>276</v>
      </c>
      <c r="E12" s="21" t="s">
        <v>256</v>
      </c>
      <c r="F12" s="21" t="s">
        <v>258</v>
      </c>
      <c r="G12" s="21" t="s">
        <v>92</v>
      </c>
      <c r="H12" s="21"/>
      <c r="I12" s="21"/>
      <c r="J12" s="22"/>
      <c r="K12" s="22"/>
      <c r="M12" s="11"/>
      <c r="N12" s="12"/>
    </row>
    <row r="13" spans="2:21" ht="15.75" customHeight="1">
      <c r="C13" s="21"/>
      <c r="D13" s="21" t="s">
        <v>276</v>
      </c>
      <c r="E13" s="21" t="s">
        <v>257</v>
      </c>
      <c r="F13" s="21" t="s">
        <v>259</v>
      </c>
      <c r="G13" s="21" t="s">
        <v>92</v>
      </c>
      <c r="H13" s="21"/>
      <c r="I13" s="21"/>
      <c r="J13" s="22"/>
      <c r="K13" s="22"/>
      <c r="M13" s="11"/>
      <c r="N13" s="12"/>
    </row>
    <row r="14" spans="2:21" ht="15.75" customHeight="1">
      <c r="C14" s="344"/>
      <c r="D14" s="21" t="s">
        <v>276</v>
      </c>
      <c r="E14" s="344" t="s">
        <v>334</v>
      </c>
      <c r="F14" s="344" t="s">
        <v>335</v>
      </c>
      <c r="G14" s="344" t="s">
        <v>92</v>
      </c>
      <c r="H14" s="344"/>
      <c r="I14" s="344"/>
      <c r="J14" s="345"/>
      <c r="K14" s="345"/>
      <c r="M14" s="11"/>
      <c r="N14" s="12"/>
    </row>
    <row r="15" spans="2:21" ht="15.75" customHeight="1">
      <c r="C15" s="21"/>
      <c r="D15" s="21" t="s">
        <v>276</v>
      </c>
      <c r="E15" s="21" t="s">
        <v>188</v>
      </c>
      <c r="F15" s="21" t="s">
        <v>186</v>
      </c>
      <c r="G15" s="21" t="s">
        <v>40</v>
      </c>
      <c r="H15" s="21"/>
      <c r="I15" s="21"/>
      <c r="J15" s="22"/>
      <c r="K15" s="22"/>
      <c r="M15" s="11"/>
      <c r="N15" s="12"/>
    </row>
    <row r="16" spans="2:21" ht="15.75" customHeight="1">
      <c r="C16" s="21"/>
      <c r="D16" s="21" t="s">
        <v>276</v>
      </c>
      <c r="E16" s="21" t="s">
        <v>178</v>
      </c>
      <c r="F16" s="21" t="s">
        <v>187</v>
      </c>
      <c r="G16" s="21" t="s">
        <v>40</v>
      </c>
      <c r="H16" s="21"/>
      <c r="I16" s="21"/>
      <c r="J16" s="22"/>
      <c r="K16" s="22"/>
      <c r="M16" s="11"/>
      <c r="N16" s="12"/>
    </row>
    <row r="17" spans="3:14" ht="15.75" customHeight="1">
      <c r="C17" s="21"/>
      <c r="D17" s="21" t="s">
        <v>276</v>
      </c>
      <c r="E17" s="21" t="s">
        <v>271</v>
      </c>
      <c r="F17" s="21" t="s">
        <v>269</v>
      </c>
      <c r="G17" s="21" t="s">
        <v>40</v>
      </c>
      <c r="H17" s="21"/>
      <c r="I17" s="21"/>
      <c r="J17" s="22"/>
      <c r="K17" s="22"/>
      <c r="M17" s="11"/>
      <c r="N17" s="12"/>
    </row>
    <row r="18" spans="3:14" ht="15.75" customHeight="1">
      <c r="C18" s="21"/>
      <c r="D18" s="21" t="s">
        <v>276</v>
      </c>
      <c r="E18" s="21" t="s">
        <v>272</v>
      </c>
      <c r="F18" s="21" t="s">
        <v>270</v>
      </c>
      <c r="G18" s="21" t="s">
        <v>40</v>
      </c>
      <c r="H18" s="21"/>
      <c r="I18" s="21"/>
      <c r="J18" s="22"/>
      <c r="K18" s="22"/>
      <c r="M18" s="11"/>
      <c r="N18" s="12"/>
    </row>
    <row r="19" spans="3:14" ht="15.75" customHeight="1">
      <c r="C19" s="21"/>
      <c r="D19" s="21" t="s">
        <v>276</v>
      </c>
      <c r="E19" s="21" t="s">
        <v>102</v>
      </c>
      <c r="F19" s="21" t="s">
        <v>93</v>
      </c>
      <c r="G19" s="21" t="s">
        <v>40</v>
      </c>
      <c r="H19" s="21"/>
      <c r="I19" s="21"/>
      <c r="J19" s="22"/>
      <c r="K19" s="22"/>
      <c r="M19" s="11"/>
      <c r="N19" s="12"/>
    </row>
    <row r="20" spans="3:14" ht="15.75" customHeight="1">
      <c r="C20" s="21"/>
      <c r="D20" s="21" t="s">
        <v>276</v>
      </c>
      <c r="E20" s="21" t="s">
        <v>162</v>
      </c>
      <c r="F20" s="21" t="s">
        <v>161</v>
      </c>
      <c r="G20" s="21" t="s">
        <v>40</v>
      </c>
      <c r="H20" s="21"/>
      <c r="I20" s="21"/>
      <c r="J20" s="22"/>
      <c r="K20" s="22"/>
      <c r="M20" s="11"/>
      <c r="N20" s="12"/>
    </row>
    <row r="21" spans="3:14" ht="15.75" customHeight="1">
      <c r="C21" s="21" t="s">
        <v>39</v>
      </c>
      <c r="D21" s="21" t="s">
        <v>276</v>
      </c>
      <c r="E21" s="21" t="s">
        <v>86</v>
      </c>
      <c r="F21" s="21" t="s">
        <v>87</v>
      </c>
      <c r="G21" s="21" t="s">
        <v>40</v>
      </c>
      <c r="H21" s="21" t="s">
        <v>165</v>
      </c>
      <c r="I21" s="21"/>
      <c r="J21" s="22"/>
      <c r="K21" s="22"/>
      <c r="M21" s="11"/>
      <c r="N21" s="12"/>
    </row>
    <row r="22" spans="3:14" ht="15.75" customHeight="1">
      <c r="C22" s="49"/>
      <c r="D22" s="49"/>
      <c r="E22" s="50"/>
      <c r="F22" s="51"/>
      <c r="G22" s="49"/>
      <c r="H22" s="49"/>
      <c r="I22" s="49"/>
      <c r="J22" s="52"/>
      <c r="K22" s="52"/>
      <c r="M22" s="11"/>
      <c r="N22" s="12"/>
    </row>
    <row r="23" spans="3:14" ht="15.75" customHeight="1">
      <c r="C23" s="49"/>
      <c r="D23" s="49"/>
      <c r="E23" s="50"/>
      <c r="F23" s="51"/>
      <c r="G23" s="49"/>
      <c r="H23" s="49"/>
      <c r="I23" s="49"/>
      <c r="J23" s="52"/>
      <c r="K23" s="52"/>
      <c r="M23" s="11"/>
      <c r="N23" s="12"/>
    </row>
    <row r="24" spans="3:14" ht="15.75" customHeight="1"/>
    <row r="25" spans="3:14" ht="15.75" customHeight="1">
      <c r="D25" s="3"/>
      <c r="E25" s="4"/>
      <c r="F25" s="4"/>
      <c r="G25" s="4"/>
      <c r="H25" s="4"/>
      <c r="I25" s="4"/>
      <c r="J25" s="4"/>
      <c r="K25" s="4"/>
    </row>
    <row r="26" spans="3:14" ht="15.75" customHeight="1">
      <c r="C26" s="37" t="s">
        <v>13</v>
      </c>
      <c r="D26" s="3"/>
      <c r="E26" s="4"/>
      <c r="F26" s="4"/>
      <c r="G26" s="4"/>
      <c r="H26" s="4"/>
      <c r="I26" s="4"/>
      <c r="J26" s="4"/>
      <c r="K26" s="4"/>
    </row>
    <row r="27" spans="3:14" ht="15.75" customHeight="1">
      <c r="C27" s="6" t="s">
        <v>11</v>
      </c>
      <c r="D27" s="7" t="s">
        <v>28</v>
      </c>
      <c r="E27" s="6" t="s">
        <v>1</v>
      </c>
      <c r="F27" s="6" t="s">
        <v>2</v>
      </c>
      <c r="G27" s="6" t="s">
        <v>14</v>
      </c>
      <c r="H27" s="6" t="s">
        <v>15</v>
      </c>
      <c r="I27" s="6" t="s">
        <v>16</v>
      </c>
      <c r="J27" s="6" t="s">
        <v>17</v>
      </c>
      <c r="K27" s="6" t="s">
        <v>18</v>
      </c>
    </row>
    <row r="28" spans="3:14" ht="15.75" customHeight="1" thickBot="1">
      <c r="C28" s="281" t="s">
        <v>33</v>
      </c>
      <c r="D28" s="281" t="s">
        <v>29</v>
      </c>
      <c r="E28" s="281" t="s">
        <v>19</v>
      </c>
      <c r="F28" s="281" t="s">
        <v>20</v>
      </c>
      <c r="G28" s="281" t="s">
        <v>311</v>
      </c>
      <c r="H28" s="281" t="s">
        <v>22</v>
      </c>
      <c r="I28" s="281" t="s">
        <v>38</v>
      </c>
      <c r="J28" s="281" t="s">
        <v>37</v>
      </c>
      <c r="K28" s="281" t="s">
        <v>23</v>
      </c>
    </row>
    <row r="29" spans="3:14" ht="15.75" customHeight="1">
      <c r="C29" s="282" t="s">
        <v>42</v>
      </c>
      <c r="D29" s="282"/>
      <c r="E29" s="282"/>
      <c r="F29" s="282"/>
      <c r="G29" s="282"/>
      <c r="H29" s="282"/>
      <c r="I29" s="282"/>
      <c r="J29" s="282"/>
      <c r="K29" s="282"/>
    </row>
    <row r="30" spans="3:14" ht="15.75" customHeight="1">
      <c r="C30" s="21" t="s">
        <v>67</v>
      </c>
      <c r="D30" s="21" t="s">
        <v>276</v>
      </c>
      <c r="E30" s="27" t="str">
        <f>+LEFT($E$8,5)&amp;LEFT(EECA_data_18!F5,4)&amp;LEFT(EECA_data_18!H5,3)&amp;"15"</f>
        <v>T_P_CICEPET15</v>
      </c>
      <c r="F30" s="48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G30" s="21" t="s">
        <v>96</v>
      </c>
      <c r="H30" s="21" t="s">
        <v>295</v>
      </c>
      <c r="I30" s="21"/>
      <c r="J30" s="21"/>
      <c r="K30" s="21"/>
    </row>
    <row r="31" spans="3:14" ht="15.75" customHeight="1">
      <c r="C31" s="21" t="s">
        <v>67</v>
      </c>
      <c r="D31" s="21" t="s">
        <v>276</v>
      </c>
      <c r="E31" s="27" t="str">
        <f>+LEFT($E$8,5)&amp;LEFT(EECA_data_18!F6,4)&amp;LEFT(EECA_data_18!H6,3)&amp;"15"</f>
        <v>T_P_CICEDSL15</v>
      </c>
      <c r="F31" s="48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G31" s="21" t="s">
        <v>96</v>
      </c>
      <c r="H31" s="21" t="s">
        <v>295</v>
      </c>
      <c r="I31" s="21"/>
      <c r="J31" s="21"/>
      <c r="K31" s="21"/>
    </row>
    <row r="32" spans="3:14" ht="15.75" customHeight="1">
      <c r="C32" s="21" t="s">
        <v>67</v>
      </c>
      <c r="D32" s="21" t="s">
        <v>276</v>
      </c>
      <c r="E32" s="27" t="str">
        <f>+LEFT($E$8,5)&amp;LEFT(EECA_data_18!F7,4)&amp;LEFT(EECA_data_18!H7,3)&amp;"15"</f>
        <v>T_P_CBEVNEW15</v>
      </c>
      <c r="F32" s="48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G32" s="21" t="s">
        <v>96</v>
      </c>
      <c r="H32" s="21" t="s">
        <v>295</v>
      </c>
      <c r="I32" s="21"/>
      <c r="J32" s="21"/>
      <c r="K32" s="21"/>
    </row>
    <row r="33" spans="3:11" ht="15.75" customHeight="1">
      <c r="C33" s="21" t="s">
        <v>67</v>
      </c>
      <c r="D33" s="21" t="s">
        <v>276</v>
      </c>
      <c r="E33" s="27" t="str">
        <f>+LEFT($E$8,5)&amp;LEFT(EECA_data_18!F8,4)&amp;LEFT(EECA_data_18!H8,3)&amp;"15"</f>
        <v>T_P_CBEVUSD15</v>
      </c>
      <c r="F33" s="48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G33" s="21" t="s">
        <v>96</v>
      </c>
      <c r="H33" s="21" t="s">
        <v>295</v>
      </c>
      <c r="I33" s="21"/>
      <c r="J33" s="21"/>
      <c r="K33" s="21"/>
    </row>
    <row r="34" spans="3:11" ht="15.75" customHeight="1">
      <c r="C34" s="21" t="s">
        <v>67</v>
      </c>
      <c r="D34" s="21" t="s">
        <v>276</v>
      </c>
      <c r="E34" s="27" t="str">
        <f>+LEFT($E$8,5)&amp;LEFT(EECA_data_18!F9,4)&amp;LEFT(EECA_data_18!H9,3)&amp;"15"</f>
        <v>T_P_CICELPG15</v>
      </c>
      <c r="F34" s="48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G34" s="21" t="s">
        <v>96</v>
      </c>
      <c r="H34" s="21" t="s">
        <v>295</v>
      </c>
      <c r="I34" s="21"/>
      <c r="J34" s="21"/>
      <c r="K34" s="21"/>
    </row>
    <row r="35" spans="3:11" ht="15.75" customHeight="1">
      <c r="C35" s="21" t="s">
        <v>67</v>
      </c>
      <c r="D35" s="21" t="s">
        <v>276</v>
      </c>
      <c r="E35" s="27" t="str">
        <f>+LEFT($E$8,5)&amp;LEFT(EECA_data_18!F10,4)&amp;LEFT(EECA_data_18!H10,3)&amp;"15"</f>
        <v>T_P_CHYBPET15</v>
      </c>
      <c r="F35" s="48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G35" s="21" t="s">
        <v>96</v>
      </c>
      <c r="H35" s="21" t="s">
        <v>295</v>
      </c>
      <c r="I35" s="21"/>
      <c r="J35" s="21"/>
      <c r="K35" s="21"/>
    </row>
    <row r="36" spans="3:11" ht="15.75" customHeight="1" thickBot="1">
      <c r="C36" s="151" t="s">
        <v>67</v>
      </c>
      <c r="D36" s="151" t="s">
        <v>276</v>
      </c>
      <c r="E36" s="152" t="str">
        <f>+LEFT($E$8,5)&amp;LEFT(EECA_data_18!F11,4)&amp;LEFT(EECA_data_18!H11,3)&amp;"15"</f>
        <v>T_P_CPHEVPET15</v>
      </c>
      <c r="F36" s="153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G36" s="151" t="s">
        <v>96</v>
      </c>
      <c r="H36" s="151" t="s">
        <v>295</v>
      </c>
      <c r="I36" s="151"/>
      <c r="J36" s="151"/>
      <c r="K36" s="151"/>
    </row>
    <row r="37" spans="3:11" ht="15.75" customHeight="1">
      <c r="C37" s="154" t="s">
        <v>67</v>
      </c>
      <c r="D37" s="154" t="s">
        <v>276</v>
      </c>
      <c r="E37" s="155" t="str">
        <f>+LEFT($E$9,5)&amp;LEFT(EECA_data_18!F13,4)&amp;LEFT(EECA_data_18!H13,3)&amp;"15"</f>
        <v>T_C_CICEPET15</v>
      </c>
      <c r="F37" s="156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G37" s="154" t="s">
        <v>96</v>
      </c>
      <c r="H37" s="154" t="s">
        <v>295</v>
      </c>
      <c r="I37" s="154"/>
      <c r="J37" s="154"/>
      <c r="K37" s="154"/>
    </row>
    <row r="38" spans="3:11" ht="15.75" customHeight="1">
      <c r="C38" s="157" t="s">
        <v>67</v>
      </c>
      <c r="D38" s="157" t="s">
        <v>276</v>
      </c>
      <c r="E38" s="158" t="str">
        <f>+LEFT($E$9,5)&amp;LEFT(EECA_data_18!F14,4)&amp;LEFT(EECA_data_18!H14,3)&amp;"15"</f>
        <v>T_C_CICEDSL15</v>
      </c>
      <c r="F38" s="159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G38" s="157" t="s">
        <v>96</v>
      </c>
      <c r="H38" s="157" t="s">
        <v>295</v>
      </c>
      <c r="I38" s="157"/>
      <c r="J38" s="157"/>
      <c r="K38" s="157"/>
    </row>
    <row r="39" spans="3:11" ht="15.75" customHeight="1">
      <c r="C39" s="157" t="s">
        <v>67</v>
      </c>
      <c r="D39" s="157" t="s">
        <v>276</v>
      </c>
      <c r="E39" s="158" t="str">
        <f>+LEFT($E$9,5)&amp;LEFT(EECA_data_18!F15,4)&amp;LEFT(EECA_data_18!H15,3)&amp;"15"</f>
        <v>T_C_CBEVNEW15</v>
      </c>
      <c r="F39" s="159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G39" s="157" t="s">
        <v>96</v>
      </c>
      <c r="H39" s="157" t="s">
        <v>295</v>
      </c>
      <c r="I39" s="157"/>
      <c r="J39" s="157"/>
      <c r="K39" s="157"/>
    </row>
    <row r="40" spans="3:11" ht="15.75" customHeight="1">
      <c r="C40" s="157" t="s">
        <v>67</v>
      </c>
      <c r="D40" s="157" t="s">
        <v>276</v>
      </c>
      <c r="E40" s="158" t="str">
        <f>+LEFT($E$9,5)&amp;LEFT(EECA_data_18!F16,4)&amp;LEFT(EECA_data_18!H16,3)&amp;"15"</f>
        <v>T_C_CICELPG15</v>
      </c>
      <c r="F40" s="159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G40" s="157" t="s">
        <v>96</v>
      </c>
      <c r="H40" s="157" t="s">
        <v>295</v>
      </c>
      <c r="I40" s="157"/>
      <c r="J40" s="157"/>
      <c r="K40" s="157"/>
    </row>
    <row r="41" spans="3:11" ht="15.75" customHeight="1" thickBot="1">
      <c r="C41" s="160" t="s">
        <v>67</v>
      </c>
      <c r="D41" s="160" t="s">
        <v>276</v>
      </c>
      <c r="E41" s="161" t="str">
        <f>+LEFT($E$9,5)&amp;LEFT(EECA_data_18!F17,4)&amp;LEFT(EECA_data_18!H17,3)&amp;"15"</f>
        <v>T_C_CHYBPET15</v>
      </c>
      <c r="F41" s="162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G41" s="160" t="s">
        <v>96</v>
      </c>
      <c r="H41" s="160" t="s">
        <v>295</v>
      </c>
      <c r="I41" s="160"/>
      <c r="J41" s="160"/>
      <c r="K41" s="160"/>
    </row>
    <row r="42" spans="3:11" ht="15.75" customHeight="1" thickBot="1">
      <c r="C42" s="151" t="s">
        <v>67</v>
      </c>
      <c r="D42" s="151" t="s">
        <v>276</v>
      </c>
      <c r="E42" s="152" t="s">
        <v>94</v>
      </c>
      <c r="F42" s="153" t="s">
        <v>95</v>
      </c>
      <c r="G42" s="151" t="s">
        <v>96</v>
      </c>
      <c r="H42" s="151" t="s">
        <v>296</v>
      </c>
      <c r="I42" s="151"/>
      <c r="J42" s="151"/>
      <c r="K42" s="151"/>
    </row>
    <row r="43" spans="3:11" ht="15.75" customHeight="1">
      <c r="C43" s="157" t="s">
        <v>67</v>
      </c>
      <c r="D43" s="157" t="s">
        <v>276</v>
      </c>
      <c r="E43" s="158" t="s">
        <v>97</v>
      </c>
      <c r="F43" s="159" t="str">
        <f>+EECA_data_18!D23&amp;"- "&amp;EECA_data_18!F23&amp;"-"&amp;EECA_data_18!H23</f>
        <v>Bus- ICE-PET</v>
      </c>
      <c r="G43" s="157" t="s">
        <v>96</v>
      </c>
      <c r="H43" s="157" t="s">
        <v>297</v>
      </c>
      <c r="I43" s="157"/>
      <c r="J43" s="157"/>
      <c r="K43" s="157"/>
    </row>
    <row r="44" spans="3:11" ht="15.75" customHeight="1">
      <c r="C44" s="157" t="s">
        <v>67</v>
      </c>
      <c r="D44" s="157" t="s">
        <v>276</v>
      </c>
      <c r="E44" s="158" t="s">
        <v>98</v>
      </c>
      <c r="F44" s="159" t="str">
        <f>+EECA_data_18!D24&amp;"- "&amp;EECA_data_18!F24&amp;"-"&amp;EECA_data_18!H24</f>
        <v>Bus- ICE-DSL</v>
      </c>
      <c r="G44" s="157" t="s">
        <v>96</v>
      </c>
      <c r="H44" s="157" t="s">
        <v>297</v>
      </c>
      <c r="I44" s="157"/>
      <c r="J44" s="157"/>
      <c r="K44" s="157"/>
    </row>
    <row r="45" spans="3:11" ht="15.75" customHeight="1" thickBot="1">
      <c r="C45" s="160" t="s">
        <v>67</v>
      </c>
      <c r="D45" s="160" t="s">
        <v>276</v>
      </c>
      <c r="E45" s="161" t="s">
        <v>99</v>
      </c>
      <c r="F45" s="162" t="str">
        <f>+EECA_data_18!D25&amp;"- "&amp;EECA_data_18!F25&amp;"-"&amp;EECA_data_18!H25</f>
        <v>Bus- BEV-NEW</v>
      </c>
      <c r="G45" s="160" t="s">
        <v>96</v>
      </c>
      <c r="H45" s="160" t="s">
        <v>297</v>
      </c>
      <c r="I45" s="160"/>
      <c r="J45" s="160"/>
      <c r="K45" s="160"/>
    </row>
    <row r="46" spans="3:11" ht="15.75" customHeight="1">
      <c r="C46" s="21" t="s">
        <v>67</v>
      </c>
      <c r="D46" s="21" t="s">
        <v>276</v>
      </c>
      <c r="E46" s="27" t="s">
        <v>260</v>
      </c>
      <c r="F46" s="48" t="str">
        <f>+EECA_data_18!D18&amp;" - "&amp;EECA_data_18!F18&amp;" - "&amp;EECA_data_18!H18</f>
        <v>Medium Truck - ICE - PET</v>
      </c>
      <c r="G46" s="21" t="s">
        <v>96</v>
      </c>
      <c r="H46" s="21" t="s">
        <v>298</v>
      </c>
      <c r="I46" s="21"/>
      <c r="J46" s="21"/>
      <c r="K46" s="21"/>
    </row>
    <row r="47" spans="3:11" ht="15.75" customHeight="1">
      <c r="C47" s="21" t="s">
        <v>67</v>
      </c>
      <c r="D47" s="21" t="s">
        <v>276</v>
      </c>
      <c r="E47" s="27" t="s">
        <v>261</v>
      </c>
      <c r="F47" s="48" t="str">
        <f>+EECA_data_18!D19&amp;" - "&amp;EECA_data_18!F19&amp;" - "&amp;EECA_data_18!H19</f>
        <v>Medium Truck - ICE - DSL</v>
      </c>
      <c r="G47" s="21" t="s">
        <v>96</v>
      </c>
      <c r="H47" s="21" t="s">
        <v>298</v>
      </c>
      <c r="I47" s="21"/>
      <c r="J47" s="21"/>
      <c r="K47" s="21"/>
    </row>
    <row r="48" spans="3:11" ht="15.75" customHeight="1" thickBot="1">
      <c r="C48" s="151" t="s">
        <v>67</v>
      </c>
      <c r="D48" s="151" t="s">
        <v>276</v>
      </c>
      <c r="E48" s="153" t="s">
        <v>262</v>
      </c>
      <c r="F48" s="153" t="str">
        <f>+EECA_data_18!D20&amp;" - "&amp;EECA_data_18!F20&amp;" - "&amp;EECA_data_18!H20</f>
        <v>Medium Truck - BEV - NEW</v>
      </c>
      <c r="G48" s="151" t="s">
        <v>96</v>
      </c>
      <c r="H48" s="151" t="s">
        <v>298</v>
      </c>
      <c r="I48" s="151"/>
      <c r="J48" s="151"/>
      <c r="K48" s="151"/>
    </row>
    <row r="49" spans="2:85" ht="15.75" customHeight="1" thickBot="1">
      <c r="C49" s="160" t="s">
        <v>67</v>
      </c>
      <c r="D49" s="160" t="s">
        <v>276</v>
      </c>
      <c r="E49" s="162" t="s">
        <v>263</v>
      </c>
      <c r="F49" s="162" t="str">
        <f>+EECA_data_18!D21&amp;" - "&amp;EECA_data_18!F21&amp;" - "&amp;EECA_data_18!H21</f>
        <v>Heavy truck - ICE - DSL</v>
      </c>
      <c r="G49" s="160" t="s">
        <v>96</v>
      </c>
      <c r="H49" s="160" t="s">
        <v>298</v>
      </c>
      <c r="I49" s="160"/>
      <c r="J49" s="160"/>
      <c r="K49" s="160"/>
    </row>
    <row r="50" spans="2:85" ht="15.75" customHeight="1" thickBot="1">
      <c r="C50" s="160" t="s">
        <v>67</v>
      </c>
      <c r="D50" s="160" t="s">
        <v>276</v>
      </c>
      <c r="E50" s="162" t="s">
        <v>336</v>
      </c>
      <c r="F50" s="162" t="str">
        <f>+[8]EECA_data_18!D22&amp;" - "&amp;[8]EECA_data_18!F22&amp;" - "&amp;[8]EECA_data_18!H22</f>
        <v>Very Heavy Truck - ICE - DSL</v>
      </c>
      <c r="G50" s="160" t="s">
        <v>96</v>
      </c>
      <c r="H50" s="160" t="s">
        <v>298</v>
      </c>
      <c r="I50" s="160"/>
      <c r="J50" s="160"/>
      <c r="K50" s="160"/>
    </row>
    <row r="51" spans="2:85" ht="15.75" customHeight="1" thickBot="1">
      <c r="C51" s="171" t="s">
        <v>67</v>
      </c>
      <c r="D51" s="172" t="s">
        <v>276</v>
      </c>
      <c r="E51" s="173" t="s">
        <v>267</v>
      </c>
      <c r="F51" s="174" t="s">
        <v>269</v>
      </c>
      <c r="G51" s="172" t="s">
        <v>40</v>
      </c>
      <c r="H51" s="172" t="s">
        <v>56</v>
      </c>
      <c r="I51" s="172"/>
      <c r="J51" s="171"/>
      <c r="K51" s="171"/>
    </row>
    <row r="52" spans="2:85" ht="15.75" customHeight="1" thickBot="1">
      <c r="C52" s="167" t="s">
        <v>67</v>
      </c>
      <c r="D52" s="168" t="s">
        <v>276</v>
      </c>
      <c r="E52" s="169" t="s">
        <v>268</v>
      </c>
      <c r="F52" s="170" t="s">
        <v>270</v>
      </c>
      <c r="G52" s="168" t="s">
        <v>40</v>
      </c>
      <c r="H52" s="168" t="s">
        <v>56</v>
      </c>
      <c r="I52" s="168"/>
      <c r="J52" s="167"/>
      <c r="K52" s="167"/>
    </row>
    <row r="53" spans="2:85" ht="15.75" customHeight="1">
      <c r="C53" s="163" t="s">
        <v>67</v>
      </c>
      <c r="D53" s="149" t="s">
        <v>276</v>
      </c>
      <c r="E53" s="150" t="s">
        <v>101</v>
      </c>
      <c r="F53" s="164" t="s">
        <v>100</v>
      </c>
      <c r="G53" s="149" t="s">
        <v>40</v>
      </c>
      <c r="H53" s="149" t="s">
        <v>56</v>
      </c>
      <c r="I53" s="149"/>
      <c r="J53" s="163"/>
      <c r="K53" s="163"/>
    </row>
    <row r="54" spans="2:85" ht="15.75" customHeight="1" thickBot="1">
      <c r="C54" s="165" t="s">
        <v>67</v>
      </c>
      <c r="D54" s="160" t="s">
        <v>276</v>
      </c>
      <c r="E54" s="161" t="s">
        <v>159</v>
      </c>
      <c r="F54" s="166" t="s">
        <v>160</v>
      </c>
      <c r="G54" s="160" t="s">
        <v>40</v>
      </c>
      <c r="H54" s="160" t="s">
        <v>56</v>
      </c>
      <c r="I54" s="160"/>
      <c r="J54" s="165"/>
      <c r="K54" s="165"/>
      <c r="P54" s="57"/>
      <c r="Q54" s="57"/>
      <c r="R54" s="57"/>
      <c r="S54" s="57"/>
      <c r="T54" s="57"/>
      <c r="U54" s="57"/>
    </row>
    <row r="55" spans="2:85" ht="15.75" customHeight="1">
      <c r="C55" s="163" t="s">
        <v>67</v>
      </c>
      <c r="D55" s="149" t="s">
        <v>276</v>
      </c>
      <c r="E55" s="150" t="s">
        <v>170</v>
      </c>
      <c r="F55" s="164" t="s">
        <v>171</v>
      </c>
      <c r="G55" s="149" t="s">
        <v>40</v>
      </c>
      <c r="H55" s="149" t="s">
        <v>56</v>
      </c>
      <c r="I55" s="149"/>
      <c r="J55" s="163"/>
      <c r="K55" s="163"/>
    </row>
    <row r="56" spans="2:85" ht="15.75" customHeight="1" thickBot="1">
      <c r="C56" s="165" t="s">
        <v>67</v>
      </c>
      <c r="D56" s="160" t="s">
        <v>276</v>
      </c>
      <c r="E56" s="161" t="s">
        <v>179</v>
      </c>
      <c r="F56" s="166" t="s">
        <v>180</v>
      </c>
      <c r="G56" s="160" t="s">
        <v>40</v>
      </c>
      <c r="H56" s="160" t="s">
        <v>56</v>
      </c>
      <c r="I56" s="160"/>
      <c r="J56" s="165"/>
      <c r="K56" s="165"/>
      <c r="CG56" s="2" t="s">
        <v>299</v>
      </c>
    </row>
    <row r="57" spans="2:85" ht="15.75" customHeight="1"/>
    <row r="58" spans="2:85" ht="15.75" customHeight="1">
      <c r="U58" s="283"/>
    </row>
    <row r="59" spans="2:85" ht="15.75" customHeight="1"/>
    <row r="60" spans="2:85" ht="15.75" customHeight="1">
      <c r="E60" s="37" t="s">
        <v>69</v>
      </c>
      <c r="F60" s="37"/>
      <c r="G60" s="13"/>
      <c r="H60" s="13"/>
    </row>
    <row r="61" spans="2:85" ht="25.5">
      <c r="C61" s="143" t="s">
        <v>1</v>
      </c>
      <c r="D61" s="143" t="s">
        <v>5</v>
      </c>
      <c r="E61" s="143" t="s">
        <v>6</v>
      </c>
      <c r="F61" s="143" t="s">
        <v>327</v>
      </c>
      <c r="G61" s="143" t="s">
        <v>266</v>
      </c>
      <c r="H61" s="143" t="s">
        <v>41</v>
      </c>
      <c r="I61" s="144" t="s">
        <v>172</v>
      </c>
      <c r="J61" s="143" t="s">
        <v>88</v>
      </c>
      <c r="K61" s="143" t="s">
        <v>300</v>
      </c>
      <c r="L61" s="143" t="s">
        <v>301</v>
      </c>
      <c r="M61" s="143" t="s">
        <v>52</v>
      </c>
      <c r="N61" s="143" t="s">
        <v>328</v>
      </c>
      <c r="O61" s="143" t="s">
        <v>239</v>
      </c>
      <c r="P61" s="143" t="s">
        <v>82</v>
      </c>
      <c r="Q61" s="143" t="s">
        <v>81</v>
      </c>
      <c r="R61" s="143" t="s">
        <v>83</v>
      </c>
      <c r="S61" s="143" t="s">
        <v>329</v>
      </c>
      <c r="T61" s="144" t="s">
        <v>302</v>
      </c>
      <c r="U61" s="143" t="s">
        <v>303</v>
      </c>
      <c r="V61" s="143" t="s">
        <v>304</v>
      </c>
      <c r="W61" s="143" t="s">
        <v>305</v>
      </c>
      <c r="X61" s="143" t="s">
        <v>264</v>
      </c>
      <c r="Y61" s="143" t="s">
        <v>265</v>
      </c>
      <c r="Z61" s="143" t="s">
        <v>330</v>
      </c>
      <c r="AA61" s="143" t="s">
        <v>319</v>
      </c>
    </row>
    <row r="62" spans="2:85" ht="48">
      <c r="C62" s="284" t="s">
        <v>34</v>
      </c>
      <c r="D62" s="284" t="s">
        <v>30</v>
      </c>
      <c r="E62" s="284" t="s">
        <v>31</v>
      </c>
      <c r="F62" s="284" t="s">
        <v>306</v>
      </c>
      <c r="G62" s="284" t="s">
        <v>80</v>
      </c>
      <c r="H62" s="284" t="s">
        <v>49</v>
      </c>
      <c r="I62" s="285" t="s">
        <v>238</v>
      </c>
      <c r="J62" s="286" t="s">
        <v>273</v>
      </c>
      <c r="K62" s="286" t="s">
        <v>273</v>
      </c>
      <c r="L62" s="286" t="s">
        <v>245</v>
      </c>
      <c r="M62" s="286" t="s">
        <v>246</v>
      </c>
      <c r="N62" s="286" t="s">
        <v>253</v>
      </c>
      <c r="O62" s="286" t="s">
        <v>253</v>
      </c>
      <c r="P62" s="286" t="s">
        <v>249</v>
      </c>
      <c r="Q62" s="286" t="s">
        <v>250</v>
      </c>
      <c r="R62" s="286" t="s">
        <v>251</v>
      </c>
      <c r="S62" s="286" t="s">
        <v>274</v>
      </c>
      <c r="T62" s="285" t="s">
        <v>252</v>
      </c>
      <c r="U62" s="286" t="s">
        <v>274</v>
      </c>
      <c r="V62" s="286" t="s">
        <v>275</v>
      </c>
      <c r="W62" s="286" t="s">
        <v>274</v>
      </c>
      <c r="X62" s="286" t="s">
        <v>254</v>
      </c>
      <c r="Y62" s="286" t="s">
        <v>255</v>
      </c>
      <c r="Z62" s="286" t="s">
        <v>320</v>
      </c>
      <c r="AA62" s="286" t="s">
        <v>320</v>
      </c>
    </row>
    <row r="63" spans="2:85" ht="24">
      <c r="C63" s="284" t="s">
        <v>45</v>
      </c>
      <c r="D63" s="284"/>
      <c r="E63" s="284"/>
      <c r="F63" s="284" t="s">
        <v>103</v>
      </c>
      <c r="G63" s="284" t="s">
        <v>103</v>
      </c>
      <c r="H63" s="284" t="s">
        <v>46</v>
      </c>
      <c r="I63" s="285"/>
      <c r="J63" s="286">
        <v>2015</v>
      </c>
      <c r="K63" s="286">
        <v>2018</v>
      </c>
      <c r="L63" s="286"/>
      <c r="M63" s="286" t="s">
        <v>247</v>
      </c>
      <c r="N63" s="286" t="s">
        <v>248</v>
      </c>
      <c r="O63" s="286" t="s">
        <v>248</v>
      </c>
      <c r="P63" s="286" t="s">
        <v>307</v>
      </c>
      <c r="Q63" s="286" t="s">
        <v>307</v>
      </c>
      <c r="R63" s="286" t="s">
        <v>307</v>
      </c>
      <c r="S63" s="285" t="s">
        <v>308</v>
      </c>
      <c r="T63" s="285" t="s">
        <v>308</v>
      </c>
      <c r="U63" s="285" t="s">
        <v>308</v>
      </c>
      <c r="V63" s="285" t="s">
        <v>308</v>
      </c>
      <c r="W63" s="285" t="s">
        <v>308</v>
      </c>
      <c r="X63" s="286" t="s">
        <v>248</v>
      </c>
      <c r="Y63" s="286"/>
      <c r="Z63" s="286" t="s">
        <v>248</v>
      </c>
      <c r="AA63" s="286" t="s">
        <v>248</v>
      </c>
    </row>
    <row r="64" spans="2:85" ht="15.75" customHeight="1">
      <c r="B64" s="381"/>
      <c r="C64" s="134" t="str">
        <f t="shared" ref="C64:C70" si="0">+E30</f>
        <v>T_P_CICEPET15</v>
      </c>
      <c r="D64" s="135" t="str">
        <f>"TRA"&amp;LEFT(RIGHT(C64,5),3)</f>
        <v>TRAPET</v>
      </c>
      <c r="E64" s="134" t="str">
        <f>+$E$8</f>
        <v>T_P_Car</v>
      </c>
      <c r="F64" s="252">
        <f>+EECA_data_15!H5</f>
        <v>0.28964251024745374</v>
      </c>
      <c r="G64" s="136">
        <f>EECA_data_18!J5*1.043</f>
        <v>0.30845918332748123</v>
      </c>
      <c r="H64" s="137">
        <f>+EECA_data_18!K5</f>
        <v>18.893708932999999</v>
      </c>
      <c r="I64" s="145"/>
      <c r="J64" s="136">
        <f>+EECA_data_15!J5*EECA_data_15!Q5</f>
        <v>7.2058109999999997</v>
      </c>
      <c r="K64" s="136">
        <f>EECA_data_18!L5*EECA_data_18!S5</f>
        <v>8.1943919656112154</v>
      </c>
      <c r="L64" s="137">
        <v>-1</v>
      </c>
      <c r="M64" s="136">
        <v>0.08</v>
      </c>
      <c r="N64" s="287">
        <f>+J64/M64/S64</f>
        <v>0.13338014858711711</v>
      </c>
      <c r="O64" s="287">
        <f>+K64/M64/T64</f>
        <v>0.1330791275965717</v>
      </c>
      <c r="P64" s="137">
        <f>+EECA_data_18!M5</f>
        <v>33.857253063779488</v>
      </c>
      <c r="Q64" s="288">
        <f>+EECA_data_18!P5</f>
        <v>1.3836761070950265</v>
      </c>
      <c r="R64" s="137"/>
      <c r="S64" s="137">
        <f>+EECA_data_15!L5*EECA_data_15!Q5</f>
        <v>675.30767100000003</v>
      </c>
      <c r="T64" s="289">
        <f>+EECA_data_18!N5*EECA_data_18!S5</f>
        <v>769.69169711313111</v>
      </c>
      <c r="U64" s="136">
        <v>0</v>
      </c>
      <c r="V64" s="136"/>
      <c r="W64" s="137"/>
      <c r="X64" s="137"/>
      <c r="Y64" s="137"/>
      <c r="Z64" s="137"/>
      <c r="AA64" s="137"/>
      <c r="AB64" s="290"/>
      <c r="AC64" s="56"/>
      <c r="AD64" s="56"/>
      <c r="AE64" s="291"/>
      <c r="AI64" s="292"/>
      <c r="AJ64" s="292"/>
    </row>
    <row r="65" spans="2:42" ht="15.75" customHeight="1">
      <c r="B65" s="381"/>
      <c r="C65" s="134" t="str">
        <f t="shared" si="0"/>
        <v>T_P_CICEDSL15</v>
      </c>
      <c r="D65" s="135" t="str">
        <f t="shared" ref="D65:D85" si="1">"TRA"&amp;LEFT(RIGHT(C65,5),3)</f>
        <v>TRADSL</v>
      </c>
      <c r="E65" s="134" t="str">
        <f t="shared" ref="E65:E70" si="2">+$E$8</f>
        <v>T_P_Car</v>
      </c>
      <c r="F65" s="252">
        <f>+EECA_data_15!H6</f>
        <v>0.27145637995161387</v>
      </c>
      <c r="G65" s="136">
        <f>EECA_data_18!J6</f>
        <v>0.27102281432564018</v>
      </c>
      <c r="H65" s="137">
        <f>+EECA_data_18!K6</f>
        <v>19.957648846000001</v>
      </c>
      <c r="I65" s="145"/>
      <c r="J65" s="136">
        <f>+EECA_data_15!J6*EECA_data_15!Q6</f>
        <v>0.83663999999999994</v>
      </c>
      <c r="K65" s="136">
        <f>EECA_data_18!L6*EECA_data_18!S6</f>
        <v>0.97544278867135614</v>
      </c>
      <c r="L65" s="137">
        <v>-1</v>
      </c>
      <c r="M65" s="136">
        <f>M64</f>
        <v>0.08</v>
      </c>
      <c r="N65" s="287">
        <f>+J65/M65/S65</f>
        <v>0.16738269262958211</v>
      </c>
      <c r="O65" s="287">
        <f t="shared" ref="O65:O70" si="3">+K65/M65/T65</f>
        <v>0.16652648589847888</v>
      </c>
      <c r="P65" s="137">
        <f>+EECA_data_18!M6</f>
        <v>40.982161028207202</v>
      </c>
      <c r="Q65" s="288">
        <f>+EECA_data_18!P6</f>
        <v>1.3430866666666668</v>
      </c>
      <c r="R65" s="137"/>
      <c r="S65" s="137">
        <f>+EECA_data_15!L6*EECA_data_15!Q6</f>
        <v>62.479577999999989</v>
      </c>
      <c r="T65" s="289">
        <f>+EECA_data_18!N6*EECA_data_18!S6</f>
        <v>73.21979319148852</v>
      </c>
      <c r="U65" s="136">
        <v>0</v>
      </c>
      <c r="V65" s="136"/>
      <c r="W65" s="137"/>
      <c r="X65" s="137"/>
      <c r="Y65" s="137"/>
      <c r="Z65" s="137"/>
      <c r="AA65" s="137"/>
      <c r="AB65" s="290"/>
      <c r="AC65" s="56"/>
      <c r="AD65" s="56"/>
      <c r="AE65" s="291"/>
      <c r="AI65" s="292"/>
      <c r="AJ65" s="292"/>
    </row>
    <row r="66" spans="2:42" ht="15.75" customHeight="1">
      <c r="B66" s="381"/>
      <c r="C66" s="134" t="str">
        <f t="shared" si="0"/>
        <v>T_P_CBEVNEW15</v>
      </c>
      <c r="D66" s="135" t="s">
        <v>55</v>
      </c>
      <c r="E66" s="134" t="str">
        <f t="shared" si="2"/>
        <v>T_P_Car</v>
      </c>
      <c r="F66" s="252">
        <f>+EECA_data_15!H7</f>
        <v>1.3967093772495132</v>
      </c>
      <c r="G66" s="136">
        <f>EECA_data_18!J7</f>
        <v>1.4079922210878586</v>
      </c>
      <c r="H66" s="137">
        <f>+EECA_data_18!K7</f>
        <v>18.893708932999999</v>
      </c>
      <c r="I66" s="145"/>
      <c r="J66" s="136">
        <f>+EECA_data_15!J7*EECA_data_15!Q7</f>
        <v>9.9599999999999992E-4</v>
      </c>
      <c r="K66" s="136">
        <f>EECA_data_18!L7*EECA_data_18!S7</f>
        <v>1.6813519295581583E-2</v>
      </c>
      <c r="L66" s="137">
        <v>-1</v>
      </c>
      <c r="M66" s="136">
        <f t="shared" ref="M66:M70" si="4">M65</f>
        <v>0.08</v>
      </c>
      <c r="N66" s="287">
        <f>+J66/M66/S66</f>
        <v>0.1059322033898305</v>
      </c>
      <c r="O66" s="287">
        <f t="shared" si="3"/>
        <v>9.6019078547742456E-2</v>
      </c>
      <c r="P66" s="137">
        <f>+EECA_data_18!M7</f>
        <v>56.434273897483351</v>
      </c>
      <c r="Q66" s="288">
        <f>+EECA_data_18!P7</f>
        <v>1.3469862952194624</v>
      </c>
      <c r="R66" s="137"/>
      <c r="S66" s="137">
        <f>+EECA_data_15!L7*EECA_data_15!Q7</f>
        <v>0.11752799999999999</v>
      </c>
      <c r="T66" s="289">
        <f>+EECA_data_18!N7*EECA_data_18!S7</f>
        <v>2.1888253290232305</v>
      </c>
      <c r="U66" s="136">
        <v>0</v>
      </c>
      <c r="V66" s="136"/>
      <c r="W66" s="137"/>
      <c r="X66" s="137"/>
      <c r="Y66" s="137"/>
      <c r="Z66" s="137"/>
      <c r="AA66" s="137"/>
      <c r="AB66" s="290"/>
      <c r="AC66" s="56"/>
      <c r="AD66" s="56"/>
      <c r="AE66" s="291"/>
      <c r="AI66" s="292"/>
      <c r="AJ66" s="292"/>
    </row>
    <row r="67" spans="2:42" ht="15.75" customHeight="1">
      <c r="B67" s="381"/>
      <c r="C67" s="134" t="str">
        <f t="shared" si="0"/>
        <v>T_P_CBEVUSD15</v>
      </c>
      <c r="D67" s="135" t="s">
        <v>55</v>
      </c>
      <c r="E67" s="134" t="str">
        <f t="shared" si="2"/>
        <v>T_P_Car</v>
      </c>
      <c r="F67" s="252">
        <f>+EECA_data_15!H8</f>
        <v>1.3967093772495132</v>
      </c>
      <c r="G67" s="136">
        <f>EECA_data_18!J8</f>
        <v>1.4079922210878586</v>
      </c>
      <c r="H67" s="137">
        <f>+EECA_data_18!K8</f>
        <v>13.893708932999999</v>
      </c>
      <c r="I67" s="145"/>
      <c r="J67" s="136">
        <f>+EECA_data_15!J8*EECA_data_15!Q8</f>
        <v>0</v>
      </c>
      <c r="K67" s="136">
        <f>EECA_data_18!L8*EECA_data_18!S8</f>
        <v>0</v>
      </c>
      <c r="L67" s="137">
        <v>-1</v>
      </c>
      <c r="M67" s="136">
        <f t="shared" si="4"/>
        <v>0.08</v>
      </c>
      <c r="N67" s="293">
        <f>+N66*0.85</f>
        <v>9.0042372881355928E-2</v>
      </c>
      <c r="O67" s="293">
        <f>+O66*0.85</f>
        <v>8.161621676558109E-2</v>
      </c>
      <c r="P67" s="137">
        <f>+EECA_data_18!M8</f>
        <v>25.285083214393978</v>
      </c>
      <c r="Q67" s="288">
        <f>+EECA_data_18!P8</f>
        <v>1.6192717698146617</v>
      </c>
      <c r="R67" s="137"/>
      <c r="S67" s="137">
        <f>+EECA_data_15!L8*EECA_data_15!Q8</f>
        <v>0</v>
      </c>
      <c r="T67" s="289">
        <f>+EECA_data_18!N8*EECA_data_18!S8</f>
        <v>0</v>
      </c>
      <c r="U67" s="136">
        <v>0</v>
      </c>
      <c r="V67" s="136"/>
      <c r="W67" s="137"/>
      <c r="X67" s="137"/>
      <c r="Y67" s="137"/>
      <c r="Z67" s="137"/>
      <c r="AA67" s="137"/>
      <c r="AB67" s="290"/>
      <c r="AC67" s="56"/>
      <c r="AD67" s="56"/>
      <c r="AE67" s="291"/>
      <c r="AI67" s="292"/>
      <c r="AJ67" s="292"/>
    </row>
    <row r="68" spans="2:42" ht="15.75" customHeight="1">
      <c r="B68" s="381"/>
      <c r="C68" s="134" t="str">
        <f t="shared" si="0"/>
        <v>T_P_CICELPG15</v>
      </c>
      <c r="D68" s="135" t="str">
        <f t="shared" si="1"/>
        <v>TRALPG</v>
      </c>
      <c r="E68" s="134" t="str">
        <f t="shared" si="2"/>
        <v>T_P_Car</v>
      </c>
      <c r="F68" s="252">
        <f>+EECA_data_15!H9</f>
        <v>0.30808183498335601</v>
      </c>
      <c r="G68" s="136">
        <f>EECA_data_18!J9</f>
        <v>0.3145699154482855</v>
      </c>
      <c r="H68" s="137">
        <f>+EECA_data_18!K9</f>
        <v>18.893708932999999</v>
      </c>
      <c r="I68" s="145"/>
      <c r="J68" s="136">
        <f>+EECA_data_15!J9*EECA_data_15!Q9</f>
        <v>6.9719999999999999E-3</v>
      </c>
      <c r="K68" s="136">
        <f>EECA_data_18!L9*EECA_data_18!S9</f>
        <v>4.6560514972379769E-3</v>
      </c>
      <c r="L68" s="137">
        <v>-1</v>
      </c>
      <c r="M68" s="136">
        <f t="shared" si="4"/>
        <v>0.08</v>
      </c>
      <c r="N68" s="287">
        <f>+J68/M68/S68</f>
        <v>0.31616982836495033</v>
      </c>
      <c r="O68" s="287">
        <f t="shared" si="3"/>
        <v>0.23845860358641741</v>
      </c>
      <c r="P68" s="137">
        <f>+EECA_data_18!M9</f>
        <v>36.679454380806774</v>
      </c>
      <c r="Q68" s="288">
        <f>+EECA_data_18!P9</f>
        <v>1.3836761070950265</v>
      </c>
      <c r="R68" s="137"/>
      <c r="S68" s="137">
        <f>+EECA_data_15!L9*EECA_data_15!Q9</f>
        <v>0.27564299999999997</v>
      </c>
      <c r="T68" s="289">
        <f>+EECA_data_18!N9*EECA_data_18!S9</f>
        <v>0.24407021948521473</v>
      </c>
      <c r="U68" s="136">
        <v>0</v>
      </c>
      <c r="V68" s="136"/>
      <c r="W68" s="137"/>
      <c r="X68" s="137"/>
      <c r="Y68" s="137"/>
      <c r="Z68" s="137"/>
      <c r="AA68" s="137"/>
      <c r="AB68" s="290"/>
      <c r="AC68" s="56"/>
      <c r="AD68" s="56"/>
      <c r="AE68" s="291"/>
      <c r="AI68" s="292"/>
      <c r="AJ68" s="294"/>
    </row>
    <row r="69" spans="2:42" ht="15.75" customHeight="1">
      <c r="B69" s="381"/>
      <c r="C69" s="134" t="str">
        <f t="shared" si="0"/>
        <v>T_P_CHYBPET15</v>
      </c>
      <c r="D69" s="135" t="str">
        <f t="shared" si="1"/>
        <v>TRAPET</v>
      </c>
      <c r="E69" s="134" t="str">
        <f t="shared" si="2"/>
        <v>T_P_Car</v>
      </c>
      <c r="F69" s="252">
        <f>+EECA_data_15!H10</f>
        <v>0.40881958394081114</v>
      </c>
      <c r="G69" s="136">
        <f>EECA_data_18!J10</f>
        <v>0.40973965605281193</v>
      </c>
      <c r="H69" s="137">
        <f>+EECA_data_18!K10</f>
        <v>18.893708932999999</v>
      </c>
      <c r="I69" s="145"/>
      <c r="J69" s="136">
        <f>+EECA_data_15!J10*EECA_data_15!Q10</f>
        <v>6.9222000000000006E-2</v>
      </c>
      <c r="K69" s="136">
        <f>EECA_data_18!L10*EECA_data_18!S10</f>
        <v>0.12157467798343605</v>
      </c>
      <c r="L69" s="137">
        <v>-1</v>
      </c>
      <c r="M69" s="136">
        <f t="shared" si="4"/>
        <v>0.08</v>
      </c>
      <c r="N69" s="287">
        <f>+J69/M69/S69</f>
        <v>0.24442568755714988</v>
      </c>
      <c r="O69" s="287">
        <f t="shared" si="3"/>
        <v>0.18972353970195158</v>
      </c>
      <c r="P69" s="137">
        <f>+EECA_data_18!M10</f>
        <v>38.4943273070229</v>
      </c>
      <c r="Q69" s="288">
        <f>+EECA_data_18!P10</f>
        <v>1.1330287043611558</v>
      </c>
      <c r="R69" s="137"/>
      <c r="S69" s="137">
        <f>+EECA_data_15!L10*EECA_data_15!Q10</f>
        <v>3.5400330000000002</v>
      </c>
      <c r="T69" s="289">
        <f>+EECA_data_18!N10*EECA_data_18!S10</f>
        <v>8.0099890460631045</v>
      </c>
      <c r="U69" s="136">
        <v>0</v>
      </c>
      <c r="V69" s="136"/>
      <c r="W69" s="137"/>
      <c r="X69" s="137"/>
      <c r="Y69" s="137"/>
      <c r="Z69" s="137"/>
      <c r="AA69" s="137"/>
      <c r="AB69" s="290"/>
      <c r="AC69" s="56"/>
      <c r="AD69" s="56"/>
      <c r="AE69" s="291"/>
      <c r="AI69" s="292"/>
      <c r="AJ69" s="292"/>
    </row>
    <row r="70" spans="2:42" ht="15.75" customHeight="1">
      <c r="B70" s="381"/>
      <c r="C70" s="134" t="str">
        <f t="shared" si="0"/>
        <v>T_P_CPHEVPET15</v>
      </c>
      <c r="D70" s="135"/>
      <c r="E70" s="134" t="str">
        <f t="shared" si="2"/>
        <v>T_P_Car</v>
      </c>
      <c r="F70" s="252"/>
      <c r="G70" s="136"/>
      <c r="H70" s="137">
        <f>+EECA_data_18!K11</f>
        <v>18.893708932999999</v>
      </c>
      <c r="I70" s="145"/>
      <c r="J70" s="136">
        <f>+EECA_data_15!J11*EECA_data_15!Q11</f>
        <v>1.4940000000000001E-3</v>
      </c>
      <c r="K70" s="136">
        <f>EECA_data_18!L11*EECA_data_18!S11</f>
        <v>7.7600858287299622E-3</v>
      </c>
      <c r="L70" s="137">
        <v>-1</v>
      </c>
      <c r="M70" s="136">
        <f t="shared" si="4"/>
        <v>0.08</v>
      </c>
      <c r="N70" s="287">
        <f>+J70/M70/S70</f>
        <v>0.16094420600858367</v>
      </c>
      <c r="O70" s="287">
        <f t="shared" si="3"/>
        <v>0.14002830438792699</v>
      </c>
      <c r="P70" s="137">
        <f>+EECA_data_18!M11</f>
        <v>51.909674036494785</v>
      </c>
      <c r="Q70" s="288">
        <f>+EECA_data_18!P11</f>
        <v>1.2151329648648723</v>
      </c>
      <c r="R70" s="137"/>
      <c r="S70" s="137">
        <f>+EECA_data_15!L11*EECA_data_15!Q11</f>
        <v>0.11603400000000001</v>
      </c>
      <c r="T70" s="289">
        <f>+EECA_data_18!N11*EECA_data_18!S11</f>
        <v>0.69272475506378983</v>
      </c>
      <c r="U70" s="136">
        <v>0</v>
      </c>
      <c r="V70" s="136"/>
      <c r="W70" s="137"/>
      <c r="X70" s="137"/>
      <c r="Y70" s="137"/>
      <c r="Z70" s="137"/>
      <c r="AA70" s="137"/>
      <c r="AB70" s="290"/>
      <c r="AC70" s="56"/>
      <c r="AD70" s="56"/>
      <c r="AE70" s="291"/>
    </row>
    <row r="71" spans="2:42" ht="15.75" customHeight="1">
      <c r="B71" s="279"/>
      <c r="C71" s="134"/>
      <c r="D71" s="135" t="s">
        <v>63</v>
      </c>
      <c r="E71" s="134"/>
      <c r="F71" s="252"/>
      <c r="G71" s="136"/>
      <c r="H71" s="137"/>
      <c r="I71" s="145"/>
      <c r="J71" s="136"/>
      <c r="K71" s="136"/>
      <c r="L71" s="137"/>
      <c r="M71" s="137"/>
      <c r="N71" s="287"/>
      <c r="O71" s="287"/>
      <c r="P71" s="137"/>
      <c r="Q71" s="288"/>
      <c r="R71" s="137"/>
      <c r="S71" s="137"/>
      <c r="T71" s="289"/>
      <c r="U71" s="136"/>
      <c r="V71" s="136"/>
      <c r="W71" s="137"/>
      <c r="X71" s="295">
        <f>1-EECA_data_18!R11</f>
        <v>0.4</v>
      </c>
      <c r="Y71" s="137"/>
      <c r="Z71" s="136">
        <f>+F64</f>
        <v>0.28964251024745374</v>
      </c>
      <c r="AA71" s="136">
        <f>+G64</f>
        <v>0.30845918332748123</v>
      </c>
      <c r="AB71" s="290"/>
      <c r="AC71" s="56"/>
      <c r="AD71" s="56"/>
      <c r="AE71" s="291"/>
    </row>
    <row r="72" spans="2:42" ht="15.75" customHeight="1">
      <c r="B72" s="279"/>
      <c r="C72" s="134"/>
      <c r="D72" s="135" t="s">
        <v>55</v>
      </c>
      <c r="E72" s="134"/>
      <c r="F72" s="252"/>
      <c r="G72" s="252"/>
      <c r="H72" s="137"/>
      <c r="I72" s="145"/>
      <c r="J72" s="136"/>
      <c r="K72" s="136"/>
      <c r="L72" s="137"/>
      <c r="M72" s="137"/>
      <c r="N72" s="287"/>
      <c r="O72" s="287"/>
      <c r="P72" s="137"/>
      <c r="Q72" s="288"/>
      <c r="R72" s="137"/>
      <c r="S72" s="137"/>
      <c r="T72" s="289"/>
      <c r="U72" s="136"/>
      <c r="V72" s="136"/>
      <c r="W72" s="137"/>
      <c r="X72" s="295">
        <f>+EECA_data_18!R11</f>
        <v>0.6</v>
      </c>
      <c r="Y72" s="137"/>
      <c r="Z72" s="136">
        <f>+F66</f>
        <v>1.3967093772495132</v>
      </c>
      <c r="AA72" s="136">
        <f>+G66</f>
        <v>1.4079922210878586</v>
      </c>
      <c r="AB72" s="290"/>
      <c r="AE72" s="291"/>
      <c r="AI72" s="296"/>
      <c r="AJ72" s="296"/>
      <c r="AK72" s="296"/>
      <c r="AL72" s="296"/>
      <c r="AM72" s="296"/>
    </row>
    <row r="73" spans="2:42" ht="15.75" customHeight="1">
      <c r="B73" s="381"/>
      <c r="C73" s="138" t="str">
        <f t="shared" ref="C73:C92" si="5">+E37</f>
        <v>T_C_CICEPET15</v>
      </c>
      <c r="D73" s="139" t="str">
        <f t="shared" si="1"/>
        <v>TRAPET</v>
      </c>
      <c r="E73" s="138" t="str">
        <f>+$E$9</f>
        <v>T_C_Car</v>
      </c>
      <c r="F73" s="253">
        <f>+EECA_data_15!H13</f>
        <v>0.22158279949800538</v>
      </c>
      <c r="G73" s="140">
        <f>EECA_data_18!J13</f>
        <v>0.22446549570454616</v>
      </c>
      <c r="H73" s="141">
        <f>+EECA_data_18!K13</f>
        <v>22.051404092999999</v>
      </c>
      <c r="I73" s="297"/>
      <c r="J73" s="140">
        <f>+EECA_data_15!J13*EECA_data_15!Q13</f>
        <v>0.46268499999999996</v>
      </c>
      <c r="K73" s="140">
        <f>EECA_data_18!L13*EECA_data_18!S13</f>
        <v>0.45012650567749657</v>
      </c>
      <c r="L73" s="141">
        <v>-1</v>
      </c>
      <c r="M73" s="140">
        <f>M70</f>
        <v>0.08</v>
      </c>
      <c r="N73" s="298">
        <f>+J73/M73/S73</f>
        <v>0.1290756245320264</v>
      </c>
      <c r="O73" s="298">
        <f t="shared" ref="O73:O84" si="6">+K73/M73/T73</f>
        <v>0.12412458902591952</v>
      </c>
      <c r="P73" s="141">
        <f>+EECA_data_18!M13</f>
        <v>33.896666666666661</v>
      </c>
      <c r="Q73" s="299">
        <f>+EECA_data_18!P13</f>
        <v>1.3430866666666668</v>
      </c>
      <c r="R73" s="141"/>
      <c r="S73" s="141">
        <f>+EECA_data_15!L13*EECA_data_15!Q13</f>
        <v>44.807549999999999</v>
      </c>
      <c r="T73" s="300">
        <f>+EECA_data_18!N13*EECA_data_18!S13</f>
        <v>45.330110376387807</v>
      </c>
      <c r="U73" s="140"/>
      <c r="V73" s="140">
        <v>0</v>
      </c>
      <c r="W73" s="141"/>
      <c r="X73" s="141"/>
      <c r="Y73" s="141"/>
      <c r="Z73" s="141"/>
      <c r="AA73" s="141"/>
      <c r="AB73" s="290"/>
      <c r="AC73" s="56"/>
      <c r="AD73" s="56"/>
      <c r="AE73" s="291"/>
      <c r="AI73" s="296"/>
      <c r="AJ73" s="296"/>
      <c r="AK73" s="296"/>
      <c r="AL73" s="296"/>
      <c r="AM73" s="296"/>
    </row>
    <row r="74" spans="2:42" ht="15.75" customHeight="1">
      <c r="B74" s="381"/>
      <c r="C74" s="138" t="str">
        <f t="shared" si="5"/>
        <v>T_C_CICEDSL15</v>
      </c>
      <c r="D74" s="139" t="str">
        <f t="shared" si="1"/>
        <v>TRADSL</v>
      </c>
      <c r="E74" s="138" t="str">
        <f t="shared" ref="E74:E77" si="7">+$E$9</f>
        <v>T_C_Car</v>
      </c>
      <c r="F74" s="253">
        <f>+EECA_data_15!H14</f>
        <v>0.24297541688957527</v>
      </c>
      <c r="G74" s="140">
        <f>EECA_data_18!J14</f>
        <v>0.24232912878138677</v>
      </c>
      <c r="H74" s="141">
        <f>EECA_data_18!K14</f>
        <v>15.784552846</v>
      </c>
      <c r="I74" s="297"/>
      <c r="J74" s="140">
        <f>+EECA_data_15!J14*EECA_data_15!Q14</f>
        <v>1.7479550000000001</v>
      </c>
      <c r="K74" s="140">
        <f>EECA_data_18!L14*EECA_data_18!S14</f>
        <v>2.1950286659214395</v>
      </c>
      <c r="L74" s="141">
        <v>-1</v>
      </c>
      <c r="M74" s="140">
        <f>M73</f>
        <v>0.08</v>
      </c>
      <c r="N74" s="298">
        <f>+J74/M74/S74</f>
        <v>0.20116790411897514</v>
      </c>
      <c r="O74" s="298">
        <f t="shared" si="6"/>
        <v>0.20286569808977026</v>
      </c>
      <c r="P74" s="141">
        <f>+EECA_data_18!M14</f>
        <v>50.400339083480681</v>
      </c>
      <c r="Q74" s="299">
        <f>+EECA_data_18!P14</f>
        <v>1.5396112737265695</v>
      </c>
      <c r="R74" s="141"/>
      <c r="S74" s="141">
        <f>+EECA_data_15!L14*EECA_data_15!Q14</f>
        <v>108.61293999999999</v>
      </c>
      <c r="T74" s="300">
        <f>+EECA_data_18!N14*EECA_data_18!S14</f>
        <v>135.25134402897649</v>
      </c>
      <c r="U74" s="140">
        <v>0</v>
      </c>
      <c r="V74" s="140"/>
      <c r="W74" s="141"/>
      <c r="X74" s="141"/>
      <c r="Y74" s="141"/>
      <c r="Z74" s="141"/>
      <c r="AA74" s="141"/>
      <c r="AB74" s="290"/>
      <c r="AC74" s="56"/>
      <c r="AD74" s="56"/>
      <c r="AE74" s="291"/>
      <c r="AI74" s="296"/>
      <c r="AJ74" s="296"/>
      <c r="AK74" s="296"/>
      <c r="AL74" s="296"/>
      <c r="AM74" s="296"/>
    </row>
    <row r="75" spans="2:42" ht="15.75" customHeight="1">
      <c r="B75" s="381"/>
      <c r="C75" s="138" t="str">
        <f t="shared" si="5"/>
        <v>T_C_CBEVNEW15</v>
      </c>
      <c r="D75" s="139" t="s">
        <v>55</v>
      </c>
      <c r="E75" s="138" t="str">
        <f t="shared" si="7"/>
        <v>T_C_Car</v>
      </c>
      <c r="F75" s="253">
        <f>+EECA_data_15!H15</f>
        <v>1.2845583191999705</v>
      </c>
      <c r="G75" s="140">
        <f>EECA_data_18!J15</f>
        <v>1.3286632211786189</v>
      </c>
      <c r="H75" s="141">
        <f>EECA_data_18!K15</f>
        <v>22.051404092999999</v>
      </c>
      <c r="I75" s="297"/>
      <c r="J75" s="140">
        <f>+EECA_data_15!J15*EECA_data_15!Q15</f>
        <v>3.0499999999999999E-4</v>
      </c>
      <c r="K75" s="140">
        <f>EECA_data_18!L15*EECA_data_18!S15</f>
        <v>2.6478029745735099E-3</v>
      </c>
      <c r="L75" s="141">
        <v>-1</v>
      </c>
      <c r="M75" s="140">
        <f t="shared" ref="M75:M86" si="8">M74</f>
        <v>0.08</v>
      </c>
      <c r="N75" s="298">
        <f>+J75/M75/S75</f>
        <v>0.52083333333333326</v>
      </c>
      <c r="O75" s="298">
        <f t="shared" si="6"/>
        <v>0.14398709875595148</v>
      </c>
      <c r="P75" s="141">
        <f>+EECA_data_18!M15</f>
        <v>70.708695652173915</v>
      </c>
      <c r="Q75" s="299">
        <f>+EECA_data_18!P15</f>
        <v>1.709806221731488</v>
      </c>
      <c r="R75" s="141"/>
      <c r="S75" s="141">
        <f>+EECA_data_15!L15*EECA_data_15!Q15</f>
        <v>7.3200000000000001E-3</v>
      </c>
      <c r="T75" s="300">
        <f>+EECA_data_18!N15*EECA_data_18!S15</f>
        <v>0.22986460223264163</v>
      </c>
      <c r="U75" s="140"/>
      <c r="V75" s="140">
        <v>0</v>
      </c>
      <c r="W75" s="141"/>
      <c r="X75" s="141"/>
      <c r="Y75" s="141"/>
      <c r="Z75" s="141"/>
      <c r="AA75" s="141"/>
      <c r="AB75" s="290"/>
      <c r="AC75" s="56"/>
      <c r="AD75" s="56"/>
      <c r="AE75" s="291"/>
      <c r="AI75" s="296"/>
      <c r="AJ75" s="296"/>
      <c r="AK75" s="296"/>
      <c r="AL75" s="296"/>
      <c r="AM75" s="296"/>
    </row>
    <row r="76" spans="2:42" ht="15.75" customHeight="1">
      <c r="B76" s="381"/>
      <c r="C76" s="138" t="str">
        <f t="shared" si="5"/>
        <v>T_C_CICELPG15</v>
      </c>
      <c r="D76" s="139" t="str">
        <f t="shared" si="1"/>
        <v>TRALPG</v>
      </c>
      <c r="E76" s="138" t="str">
        <f t="shared" si="7"/>
        <v>T_C_Car</v>
      </c>
      <c r="F76" s="253">
        <f>+EECA_data_15!H16</f>
        <v>0.30808183498335601</v>
      </c>
      <c r="G76" s="140">
        <f>EECA_data_18!J16</f>
        <v>0.3145699154482855</v>
      </c>
      <c r="H76" s="141">
        <f>EECA_data_18!K16</f>
        <v>22.051404092999999</v>
      </c>
      <c r="I76" s="297"/>
      <c r="J76" s="140">
        <f>+EECA_data_15!J16*EECA_data_15!Q16</f>
        <v>1.2199999999999999E-3</v>
      </c>
      <c r="K76" s="140">
        <f>EECA_data_18!L16*EECA_data_18!S16</f>
        <v>1.176801322032671E-3</v>
      </c>
      <c r="L76" s="141">
        <v>-1</v>
      </c>
      <c r="M76" s="140">
        <f t="shared" si="8"/>
        <v>0.08</v>
      </c>
      <c r="N76" s="298">
        <f>+J76/M76/S76</f>
        <v>0.17482517482517484</v>
      </c>
      <c r="O76" s="298">
        <f t="shared" si="6"/>
        <v>0.1588007368354189</v>
      </c>
      <c r="P76" s="141">
        <f>+EECA_data_18!M16</f>
        <v>36.718867983693947</v>
      </c>
      <c r="Q76" s="299">
        <f>+EECA_data_18!P16</f>
        <v>1.3430866666666668</v>
      </c>
      <c r="R76" s="141"/>
      <c r="S76" s="141">
        <f>+EECA_data_15!L16*EECA_data_15!Q16</f>
        <v>8.7229999999999988E-2</v>
      </c>
      <c r="T76" s="300">
        <f>+EECA_data_18!N16*EECA_data_18!S16</f>
        <v>9.2631916063801709E-2</v>
      </c>
      <c r="U76" s="140"/>
      <c r="V76" s="140">
        <v>0</v>
      </c>
      <c r="W76" s="141"/>
      <c r="X76" s="141"/>
      <c r="Y76" s="141"/>
      <c r="Z76" s="141"/>
      <c r="AA76" s="141"/>
      <c r="AB76" s="290"/>
      <c r="AC76" s="56"/>
      <c r="AD76" s="56"/>
      <c r="AE76" s="291"/>
      <c r="AI76" s="296"/>
      <c r="AJ76" s="296"/>
      <c r="AK76" s="296"/>
      <c r="AL76" s="296"/>
      <c r="AM76" s="296"/>
    </row>
    <row r="77" spans="2:42" ht="15.75" customHeight="1">
      <c r="B77" s="381"/>
      <c r="C77" s="138" t="str">
        <f t="shared" si="5"/>
        <v>T_C_CHYBPET15</v>
      </c>
      <c r="D77" s="139" t="str">
        <f t="shared" si="1"/>
        <v>TRAPET</v>
      </c>
      <c r="E77" s="138" t="str">
        <f t="shared" si="7"/>
        <v>T_C_Car</v>
      </c>
      <c r="F77" s="253">
        <f>+EECA_data_15!H17</f>
        <v>0.28050534446079667</v>
      </c>
      <c r="G77" s="140">
        <f>EECA_data_18!J17</f>
        <v>0.32080057540766083</v>
      </c>
      <c r="H77" s="141">
        <f>EECA_data_18!K17</f>
        <v>22.051404092999999</v>
      </c>
      <c r="I77" s="297"/>
      <c r="J77" s="301">
        <f>+N77*M77*S77</f>
        <v>1.2797202797202799E-5</v>
      </c>
      <c r="K77" s="301">
        <f>+O77*M77*T77</f>
        <v>3.8459269528413211E-5</v>
      </c>
      <c r="L77" s="141">
        <v>-1</v>
      </c>
      <c r="M77" s="140">
        <f t="shared" si="8"/>
        <v>0.08</v>
      </c>
      <c r="N77" s="293">
        <f>+N76</f>
        <v>0.17482517482517484</v>
      </c>
      <c r="O77" s="293">
        <f>+O76</f>
        <v>0.1588007368354189</v>
      </c>
      <c r="P77" s="141">
        <f>+EECA_data_18!M17</f>
        <v>38.539138979341075</v>
      </c>
      <c r="Q77" s="299">
        <f>+EECA_data_18!P17</f>
        <v>1.0997918790206931</v>
      </c>
      <c r="R77" s="141"/>
      <c r="S77" s="141">
        <f>+EECA_data_15!L17*EECA_data_15!Q17</f>
        <v>9.1500000000000001E-4</v>
      </c>
      <c r="T77" s="300">
        <f>+EECA_data_18!N17*EECA_data_18!S17</f>
        <v>3.0273214009290464E-3</v>
      </c>
      <c r="U77" s="140"/>
      <c r="V77" s="140">
        <v>0</v>
      </c>
      <c r="W77" s="141"/>
      <c r="X77" s="141"/>
      <c r="Y77" s="141"/>
      <c r="Z77" s="141"/>
      <c r="AA77" s="141"/>
      <c r="AB77" s="290"/>
      <c r="AC77" s="56"/>
      <c r="AD77" s="56"/>
      <c r="AE77" s="291"/>
      <c r="AI77" s="296"/>
      <c r="AJ77" s="296"/>
      <c r="AK77" s="296"/>
      <c r="AL77" s="296"/>
      <c r="AM77" s="296"/>
    </row>
    <row r="78" spans="2:42" ht="15.75" customHeight="1">
      <c r="C78" s="27" t="str">
        <f t="shared" si="5"/>
        <v>T_P_MICEPET15</v>
      </c>
      <c r="D78" s="26" t="str">
        <f t="shared" si="1"/>
        <v>TRAPET</v>
      </c>
      <c r="E78" s="27" t="str">
        <f>+$E$10</f>
        <v>T_P_Mcy</v>
      </c>
      <c r="F78" s="58">
        <f>+EECA_data_15!H25</f>
        <v>0.58423954516980703</v>
      </c>
      <c r="G78" s="25">
        <f>+EECA_data_18!J26</f>
        <v>0.58602989312730902</v>
      </c>
      <c r="H78" s="55">
        <f>+EECA_data_18!K26</f>
        <v>12.147264359999999</v>
      </c>
      <c r="I78" s="146"/>
      <c r="J78" s="25">
        <f>+EECA_data_15!J25*EECA_data_15!Q25</f>
        <v>0.11165000000000001</v>
      </c>
      <c r="K78" s="25">
        <f>+EECA_data_18!L26*EECA_data_18!S26</f>
        <v>0.11566618930402839</v>
      </c>
      <c r="L78" s="55">
        <v>-1</v>
      </c>
      <c r="M78" s="25">
        <f t="shared" si="8"/>
        <v>0.08</v>
      </c>
      <c r="N78" s="302">
        <f t="shared" ref="N78:N83" si="9">+J78/M78/S78</f>
        <v>3.2212609570477384E-2</v>
      </c>
      <c r="O78" s="302">
        <f t="shared" si="6"/>
        <v>3.0114676688831065E-2</v>
      </c>
      <c r="P78" s="55">
        <f>+EECA_data_18!M26</f>
        <v>10</v>
      </c>
      <c r="Q78" s="42">
        <f>+EECA_data_18!P26</f>
        <v>0.5</v>
      </c>
      <c r="R78" s="55"/>
      <c r="S78" s="55">
        <f>+EECA_data_15!L25*EECA_data_15!Q25</f>
        <v>43.325425000000003</v>
      </c>
      <c r="T78" s="147">
        <f>+EECA_data_18!N26*EECA_data_18!S26</f>
        <v>48.01072185631611</v>
      </c>
      <c r="U78" s="25">
        <v>0</v>
      </c>
      <c r="V78" s="25"/>
      <c r="W78" s="55"/>
      <c r="X78" s="55"/>
      <c r="Y78" s="55"/>
      <c r="Z78" s="55"/>
      <c r="AA78" s="55"/>
      <c r="AB78" s="290"/>
      <c r="AC78" s="56"/>
      <c r="AD78" s="56"/>
      <c r="AE78" s="291"/>
      <c r="AI78" s="296"/>
      <c r="AJ78" s="296"/>
      <c r="AK78" s="296"/>
      <c r="AL78" s="296"/>
      <c r="AM78" s="296"/>
    </row>
    <row r="79" spans="2:42" ht="15.75" customHeight="1">
      <c r="C79" s="130" t="str">
        <f t="shared" si="5"/>
        <v>T_P_BICEPET15</v>
      </c>
      <c r="D79" s="131" t="str">
        <f t="shared" si="1"/>
        <v>TRAPET</v>
      </c>
      <c r="E79" s="130" t="str">
        <f>+$E$11</f>
        <v>T_P_Bus</v>
      </c>
      <c r="F79" s="254">
        <f>+EECA_data_15!H22</f>
        <v>0.10688252747207665</v>
      </c>
      <c r="G79" s="132">
        <f>+EECA_data_18!J23</f>
        <v>0.10878530623606167</v>
      </c>
      <c r="H79" s="133">
        <f>+EECA_data_18!K23</f>
        <v>31</v>
      </c>
      <c r="I79" s="148"/>
      <c r="J79" s="132">
        <f>+EECA_data_15!J22*EECA_data_15!Q22</f>
        <v>3.2500000000000004E-4</v>
      </c>
      <c r="K79" s="132">
        <f>+EECA_data_18!L23*EECA_data_18!S23</f>
        <v>6.4870937415591689E-4</v>
      </c>
      <c r="L79" s="133">
        <v>-1</v>
      </c>
      <c r="M79" s="132">
        <f t="shared" si="8"/>
        <v>0.08</v>
      </c>
      <c r="N79" s="303">
        <f t="shared" si="9"/>
        <v>7.4404761904761904E-2</v>
      </c>
      <c r="O79" s="303">
        <f t="shared" si="6"/>
        <v>0.15835814277570151</v>
      </c>
      <c r="P79" s="133">
        <f>+EECA_data_18!M23</f>
        <v>0</v>
      </c>
      <c r="Q79" s="304">
        <f>+EECA_data_18!P23</f>
        <v>18.74419950494234</v>
      </c>
      <c r="R79" s="133"/>
      <c r="S79" s="133">
        <f>+EECA_data_15!L22*EECA_data_15!Q22</f>
        <v>5.4600000000000003E-2</v>
      </c>
      <c r="T79" s="305">
        <f>+EECA_data_18!N23*EECA_data_18!S23</f>
        <v>5.1205874448997303E-2</v>
      </c>
      <c r="U79" s="142"/>
      <c r="V79" s="142"/>
      <c r="W79" s="133">
        <v>0</v>
      </c>
      <c r="X79" s="133"/>
      <c r="Y79" s="133"/>
      <c r="Z79" s="133"/>
      <c r="AA79" s="133"/>
      <c r="AB79" s="290"/>
      <c r="AC79" s="56"/>
      <c r="AD79" s="56"/>
      <c r="AE79" s="291"/>
      <c r="AI79" s="296"/>
      <c r="AJ79" s="296"/>
      <c r="AK79" s="306"/>
      <c r="AL79" s="306"/>
      <c r="AM79" s="306"/>
      <c r="AN79" s="307"/>
      <c r="AO79" s="307"/>
      <c r="AP79" s="307"/>
    </row>
    <row r="80" spans="2:42" ht="15.75" customHeight="1">
      <c r="C80" s="130" t="str">
        <f t="shared" si="5"/>
        <v>T_P_BICEDSL15</v>
      </c>
      <c r="D80" s="131" t="str">
        <f t="shared" si="1"/>
        <v>TRADSL</v>
      </c>
      <c r="E80" s="130" t="str">
        <f t="shared" ref="E80:E81" si="10">+$E$11</f>
        <v>T_P_Bus</v>
      </c>
      <c r="F80" s="254">
        <f>+EECA_data_15!H23</f>
        <v>7.3140734768071314E-2</v>
      </c>
      <c r="G80" s="132">
        <f>+EECA_data_18!J24</f>
        <v>7.3200547754531456E-2</v>
      </c>
      <c r="H80" s="133">
        <f>+EECA_data_18!K24</f>
        <v>26.248000000000001</v>
      </c>
      <c r="I80" s="148"/>
      <c r="J80" s="132">
        <f>+EECA_data_15!J23*EECA_data_15!Q23</f>
        <v>8.5150000000000003E-2</v>
      </c>
      <c r="K80" s="132">
        <f>+EECA_data_18!L24*EECA_data_18!S24</f>
        <v>9.9252534245855284E-2</v>
      </c>
      <c r="L80" s="133">
        <v>-1</v>
      </c>
      <c r="M80" s="132">
        <f t="shared" si="8"/>
        <v>0.08</v>
      </c>
      <c r="N80" s="303">
        <f t="shared" si="9"/>
        <v>0.35835430572272681</v>
      </c>
      <c r="O80" s="303">
        <f t="shared" si="6"/>
        <v>0.34779177229231611</v>
      </c>
      <c r="P80" s="133">
        <f>+EECA_data_18!M24</f>
        <v>440</v>
      </c>
      <c r="Q80" s="304">
        <f>+EECA_data_18!P24</f>
        <v>18.74419950494234</v>
      </c>
      <c r="R80" s="133"/>
      <c r="S80" s="133">
        <f>+EECA_data_15!L23*EECA_data_15!Q23</f>
        <v>2.9701749999999998</v>
      </c>
      <c r="T80" s="305">
        <f>+EECA_data_18!N24*EECA_data_18!S24</f>
        <v>3.5672398742959035</v>
      </c>
      <c r="U80" s="142"/>
      <c r="V80" s="142"/>
      <c r="W80" s="133">
        <v>0</v>
      </c>
      <c r="X80" s="133"/>
      <c r="Y80" s="133"/>
      <c r="Z80" s="133"/>
      <c r="AA80" s="133"/>
      <c r="AB80" s="290"/>
      <c r="AC80" s="56"/>
      <c r="AD80" s="56"/>
      <c r="AE80" s="291"/>
      <c r="AI80" s="296"/>
      <c r="AJ80" s="296"/>
      <c r="AK80" s="296"/>
      <c r="AL80" s="296"/>
      <c r="AM80" s="296"/>
    </row>
    <row r="81" spans="3:57" ht="15.75" customHeight="1">
      <c r="C81" s="130" t="str">
        <f t="shared" si="5"/>
        <v>T_P_BBEVELC15</v>
      </c>
      <c r="D81" s="131" t="str">
        <f t="shared" si="1"/>
        <v>TRAELC</v>
      </c>
      <c r="E81" s="130" t="str">
        <f t="shared" si="10"/>
        <v>T_P_Bus</v>
      </c>
      <c r="F81" s="254">
        <f>+EECA_data_15!H24</f>
        <v>0.26019798353090839</v>
      </c>
      <c r="G81" s="132">
        <f>+EECA_data_18!J25</f>
        <v>0.26548125081615598</v>
      </c>
      <c r="H81" s="133">
        <f>+EECA_data_18!K25</f>
        <v>30</v>
      </c>
      <c r="I81" s="148"/>
      <c r="J81" s="132">
        <f>+EECA_data_15!J24*EECA_data_15!Q24</f>
        <v>6.5000000000000008E-4</v>
      </c>
      <c r="K81" s="132">
        <f>+EECA_data_18!L25*EECA_data_18!S25</f>
        <v>9.7306406123387533E-4</v>
      </c>
      <c r="L81" s="133">
        <v>-1</v>
      </c>
      <c r="M81" s="132">
        <f t="shared" si="8"/>
        <v>0.08</v>
      </c>
      <c r="N81" s="303">
        <f t="shared" si="9"/>
        <v>0.39062499999999994</v>
      </c>
      <c r="O81" s="303">
        <f t="shared" si="6"/>
        <v>0.43322550831792977</v>
      </c>
      <c r="P81" s="133">
        <f>+EECA_data_18!M25</f>
        <v>927.40800000000002</v>
      </c>
      <c r="Q81" s="304">
        <f>+EECA_data_18!P25</f>
        <v>17.224399545082154</v>
      </c>
      <c r="R81" s="308"/>
      <c r="S81" s="133">
        <f>+EECA_data_15!L24*EECA_data_15!Q24</f>
        <v>2.0800000000000003E-2</v>
      </c>
      <c r="T81" s="305">
        <f>+EECA_data_18!N25*EECA_data_18!S25</f>
        <v>2.8076141713468082E-2</v>
      </c>
      <c r="U81" s="142"/>
      <c r="V81" s="142"/>
      <c r="W81" s="133">
        <v>0</v>
      </c>
      <c r="X81" s="133"/>
      <c r="Y81" s="133"/>
      <c r="Z81" s="133"/>
      <c r="AA81" s="133"/>
      <c r="AB81" s="290"/>
      <c r="AC81" s="56"/>
      <c r="AD81" s="56"/>
      <c r="AE81" s="291"/>
    </row>
    <row r="82" spans="3:57" ht="15.75" customHeight="1">
      <c r="C82" s="255" t="str">
        <f t="shared" si="5"/>
        <v>T_F_MTICEPET15</v>
      </c>
      <c r="D82" s="256" t="str">
        <f t="shared" si="1"/>
        <v>TRAPET</v>
      </c>
      <c r="E82" s="255" t="str">
        <f>+$E$12</f>
        <v>T_F_MTrk</v>
      </c>
      <c r="F82" s="257">
        <f>+EECA_data_15!H18</f>
        <v>0.14021476092685786</v>
      </c>
      <c r="G82" s="258">
        <f>EECA_data_18!J18</f>
        <v>0.13638221628825251</v>
      </c>
      <c r="H82" s="260">
        <f>+EECA_data_18!K18</f>
        <v>34.774647887</v>
      </c>
      <c r="I82" s="259"/>
      <c r="J82" s="258">
        <f>+EECA_data_15!J18*EECA_data_15!Q18</f>
        <v>3.2669999999999995E-3</v>
      </c>
      <c r="K82" s="354">
        <f>ROUNDUP(EECA_data_18!L18*EECA_data_18!S18,3)</f>
        <v>3.0000000000000001E-3</v>
      </c>
      <c r="L82" s="260">
        <v>-1</v>
      </c>
      <c r="M82" s="258">
        <f t="shared" si="8"/>
        <v>0.08</v>
      </c>
      <c r="N82" s="309">
        <f t="shared" si="9"/>
        <v>4.6374367622259688E-2</v>
      </c>
      <c r="O82" s="309">
        <f t="shared" si="6"/>
        <v>4.6859617565256098E-2</v>
      </c>
      <c r="P82" s="260">
        <f>+EECA_data_18!M23</f>
        <v>0</v>
      </c>
      <c r="Q82" s="310">
        <f>+EECA_data_18!P18</f>
        <v>3.8</v>
      </c>
      <c r="R82" s="260"/>
      <c r="S82" s="260">
        <f>+EECA_data_15!L18*EECA_data_15!Q18</f>
        <v>0.88060499999999997</v>
      </c>
      <c r="T82" s="352">
        <f>+EECA_data_18!N18*EECA_data_18!S18</f>
        <v>0.80026261306503377</v>
      </c>
      <c r="U82" s="261"/>
      <c r="V82" s="261"/>
      <c r="W82" s="260">
        <v>0</v>
      </c>
      <c r="X82" s="260"/>
      <c r="Y82" s="260"/>
      <c r="Z82" s="260"/>
      <c r="AA82" s="260"/>
      <c r="AB82" s="290"/>
      <c r="AC82" s="56"/>
      <c r="AD82" s="56"/>
      <c r="AE82" s="291"/>
      <c r="AL82" s="307"/>
      <c r="AM82" s="307"/>
      <c r="AN82" s="307"/>
      <c r="AO82" s="307"/>
      <c r="AP82" s="307"/>
    </row>
    <row r="83" spans="3:57" ht="15.75" customHeight="1">
      <c r="C83" s="255" t="str">
        <f t="shared" si="5"/>
        <v>T_F_MTICEDSL15</v>
      </c>
      <c r="D83" s="256" t="str">
        <f t="shared" si="1"/>
        <v>TRADSL</v>
      </c>
      <c r="E83" s="255" t="str">
        <f>+$E$12</f>
        <v>T_F_MTrk</v>
      </c>
      <c r="F83" s="257">
        <f>+EECA_data_15!H19</f>
        <v>0.13479584134353043</v>
      </c>
      <c r="G83" s="258">
        <f>EECA_data_18!J19</f>
        <v>0.13187233674282225</v>
      </c>
      <c r="H83" s="260">
        <f>+EECA_data_18!K19</f>
        <v>21.981385162999999</v>
      </c>
      <c r="I83" s="259"/>
      <c r="J83" s="258">
        <f>+EECA_data_15!J19*EECA_data_15!Q19</f>
        <v>0.24116400000000002</v>
      </c>
      <c r="K83" s="354">
        <f>ROUNDUP(EECA_data_18!L19*EECA_data_18!S19,3)</f>
        <v>0.247</v>
      </c>
      <c r="L83" s="260">
        <v>-1</v>
      </c>
      <c r="M83" s="258">
        <f t="shared" si="8"/>
        <v>0.08</v>
      </c>
      <c r="N83" s="309">
        <f t="shared" si="9"/>
        <v>0.12221406123947938</v>
      </c>
      <c r="O83" s="309">
        <f t="shared" si="6"/>
        <v>0.13211631073418578</v>
      </c>
      <c r="P83" s="260">
        <f>+EECA_data_18!M24</f>
        <v>440</v>
      </c>
      <c r="Q83" s="310">
        <f>+EECA_data_18!P19</f>
        <v>3.8</v>
      </c>
      <c r="R83" s="260"/>
      <c r="S83" s="260">
        <f>+EECA_data_15!L19*EECA_data_15!Q19</f>
        <v>24.666146999999999</v>
      </c>
      <c r="T83" s="352">
        <f>+EECA_data_18!N19*EECA_data_18!S19</f>
        <v>23.369559616389537</v>
      </c>
      <c r="U83" s="261"/>
      <c r="V83" s="261">
        <v>0</v>
      </c>
      <c r="W83" s="260"/>
      <c r="X83" s="260"/>
      <c r="Y83" s="260"/>
      <c r="Z83" s="260"/>
      <c r="AA83" s="260"/>
      <c r="AB83" s="290"/>
      <c r="AC83" s="56"/>
      <c r="AD83" s="56"/>
      <c r="AE83" s="291"/>
    </row>
    <row r="84" spans="3:57" ht="15.75" customHeight="1">
      <c r="C84" s="255" t="str">
        <f t="shared" si="5"/>
        <v>T_F_MBEVELC15</v>
      </c>
      <c r="D84" s="256" t="str">
        <f t="shared" si="1"/>
        <v>TRAELC</v>
      </c>
      <c r="E84" s="255" t="str">
        <f>+$E$12</f>
        <v>T_F_MTrk</v>
      </c>
      <c r="F84" s="257">
        <f>+EECA_data_15!H20</f>
        <v>0.4206022071259739</v>
      </c>
      <c r="G84" s="258">
        <f>EECA_data_18!J20</f>
        <v>0.60056169190323494</v>
      </c>
      <c r="H84" s="260">
        <f>+EECA_data_18!K20</f>
        <v>21.981385162999999</v>
      </c>
      <c r="I84" s="259"/>
      <c r="J84" s="301">
        <f>+N84*M84*S84</f>
        <v>1.4519030475250149E-5</v>
      </c>
      <c r="K84" s="354">
        <f>EECA_data_18!L20*EECA_data_18!S20</f>
        <v>1.2005053298653222E-5</v>
      </c>
      <c r="L84" s="260">
        <v>-1</v>
      </c>
      <c r="M84" s="258">
        <f t="shared" si="8"/>
        <v>0.08</v>
      </c>
      <c r="N84" s="293">
        <f>N83</f>
        <v>0.12221406123947938</v>
      </c>
      <c r="O84" s="309">
        <f t="shared" si="6"/>
        <v>1.9530658653846154E-2</v>
      </c>
      <c r="P84" s="260">
        <f>+EECA_data_18!M25</f>
        <v>927.40800000000002</v>
      </c>
      <c r="Q84" s="310">
        <f>+EECA_data_18!P20</f>
        <v>3.5</v>
      </c>
      <c r="R84" s="260"/>
      <c r="S84" s="260">
        <f>+EECA_data_15!L20*EECA_data_15!Q20</f>
        <v>1.485E-3</v>
      </c>
      <c r="T84" s="352">
        <f>+EECA_data_18!N20*EECA_data_18!S20</f>
        <v>7.6834667428695999E-3</v>
      </c>
      <c r="U84" s="261"/>
      <c r="V84" s="261">
        <v>0</v>
      </c>
      <c r="W84" s="260"/>
      <c r="X84" s="260"/>
      <c r="Y84" s="260"/>
      <c r="Z84" s="260"/>
      <c r="AA84" s="260"/>
      <c r="AB84" s="290"/>
      <c r="AC84" s="56"/>
      <c r="AD84" s="56"/>
      <c r="AE84" s="291"/>
    </row>
    <row r="85" spans="3:57" ht="15.75" customHeight="1">
      <c r="C85" s="262" t="str">
        <f t="shared" si="5"/>
        <v>T_F_HTICEDSL15</v>
      </c>
      <c r="D85" s="263" t="str">
        <f t="shared" si="1"/>
        <v>TRADSL</v>
      </c>
      <c r="E85" s="262" t="str">
        <f>E13</f>
        <v>T_F_HTrk</v>
      </c>
      <c r="F85" s="264">
        <f>EECA_data_18!J21</f>
        <v>5.6500000000000002E-2</v>
      </c>
      <c r="G85" s="265">
        <f>F85</f>
        <v>5.6500000000000002E-2</v>
      </c>
      <c r="H85" s="267">
        <f>+EECA_data_18!K21</f>
        <v>21.981385162999999</v>
      </c>
      <c r="I85" s="266"/>
      <c r="J85" s="265"/>
      <c r="K85" s="265">
        <f>ROUNDUP(EECA_data_18!L21*EECA_data_18!S21,3)</f>
        <v>0.20300000000000001</v>
      </c>
      <c r="L85" s="267">
        <v>-1</v>
      </c>
      <c r="M85" s="265">
        <f t="shared" si="8"/>
        <v>0.08</v>
      </c>
      <c r="N85" s="311">
        <f>+ROUNDUP(J85/M85/S85,3)</f>
        <v>0</v>
      </c>
      <c r="O85" s="311">
        <f>+ROUNDUP(K85/M85/T85,3)</f>
        <v>0.14599999999999999</v>
      </c>
      <c r="P85" s="267">
        <f>+EECA_data_18!M21</f>
        <v>200</v>
      </c>
      <c r="Q85" s="312">
        <f>+EECA_data_18!P21</f>
        <v>16.440000000000001</v>
      </c>
      <c r="R85" s="267"/>
      <c r="S85" s="267">
        <f>+ROUNDUP(EECA_data_15!L21*EECA_data_15!Q21,3)</f>
        <v>21.808</v>
      </c>
      <c r="T85" s="313">
        <f>+EECA_data_18!N21*EECA_data_18!S21</f>
        <v>17.435559147281015</v>
      </c>
      <c r="U85" s="268"/>
      <c r="V85" s="268">
        <v>0</v>
      </c>
      <c r="W85" s="267"/>
      <c r="X85" s="267"/>
      <c r="Y85" s="267"/>
      <c r="Z85" s="267"/>
      <c r="AA85" s="267"/>
      <c r="AB85" s="290"/>
      <c r="AC85" s="56"/>
      <c r="AD85" s="56"/>
      <c r="AE85" s="291"/>
      <c r="AK85" s="307"/>
      <c r="AL85" s="307"/>
      <c r="AM85" s="307"/>
      <c r="AN85" s="307"/>
      <c r="AO85" s="307"/>
      <c r="AP85" s="307"/>
    </row>
    <row r="86" spans="3:57" ht="15.75" customHeight="1">
      <c r="C86" s="262" t="str">
        <f t="shared" si="5"/>
        <v>T_F_VHTICEDSL15</v>
      </c>
      <c r="D86" s="263" t="str">
        <f t="shared" ref="D86" si="11">"TRA"&amp;LEFT(RIGHT(C86,5),3)</f>
        <v>TRADSL</v>
      </c>
      <c r="E86" s="262" t="str">
        <f>E14</f>
        <v>T_F_VHTrk</v>
      </c>
      <c r="F86" s="264">
        <f>EECA_data_18!J22</f>
        <v>4.7E-2</v>
      </c>
      <c r="G86" s="265">
        <f>F86</f>
        <v>4.7E-2</v>
      </c>
      <c r="H86" s="267">
        <f>+EECA_data_18!K22</f>
        <v>21.981385162999999</v>
      </c>
      <c r="I86" s="266"/>
      <c r="J86" s="265"/>
      <c r="K86" s="265">
        <f>ROUNDUP(EECA_data_18!L22*EECA_data_18!S22,3)</f>
        <v>0.45500000000000002</v>
      </c>
      <c r="L86" s="267">
        <v>-1</v>
      </c>
      <c r="M86" s="265">
        <f t="shared" si="8"/>
        <v>0.08</v>
      </c>
      <c r="N86" s="311"/>
      <c r="O86" s="311">
        <f>+ROUNDUP(K86/M86/T86,3)</f>
        <v>1.4589999999999999</v>
      </c>
      <c r="P86" s="267">
        <f>+EECA_data_18!M22</f>
        <v>300</v>
      </c>
      <c r="Q86" s="312">
        <f>+EECA_data_18!P22</f>
        <v>20</v>
      </c>
      <c r="R86" s="267"/>
      <c r="S86" s="267"/>
      <c r="T86" s="313">
        <f>+EECA_data_18!N22*EECA_data_18!S22</f>
        <v>3.9008369617645657</v>
      </c>
      <c r="U86" s="268"/>
      <c r="V86" s="268"/>
      <c r="W86" s="267"/>
      <c r="X86" s="267"/>
      <c r="Y86" s="267"/>
      <c r="Z86" s="267"/>
      <c r="AA86" s="267"/>
      <c r="AB86" s="290"/>
      <c r="AC86" s="56"/>
      <c r="AD86" s="56"/>
      <c r="AE86" s="291"/>
      <c r="AK86" s="307"/>
      <c r="AL86" s="307"/>
      <c r="AM86" s="307"/>
      <c r="AN86" s="307"/>
      <c r="AO86" s="307"/>
      <c r="AP86" s="307"/>
    </row>
    <row r="87" spans="3:57" ht="15.75" customHeight="1">
      <c r="C87" s="27" t="str">
        <f t="shared" si="5"/>
        <v>T_F_DSHIPP15</v>
      </c>
      <c r="D87" s="26" t="s">
        <v>108</v>
      </c>
      <c r="E87" s="27" t="str">
        <f>+E17</f>
        <v>T_F_DSHIP</v>
      </c>
      <c r="F87" s="58"/>
      <c r="G87" s="25">
        <v>1</v>
      </c>
      <c r="H87" s="55">
        <v>60</v>
      </c>
      <c r="I87" s="146"/>
      <c r="J87" s="25">
        <f>+EECA_data_15!O32*EECA_data_15!Q32</f>
        <v>3.8910573447709011</v>
      </c>
      <c r="K87" s="25">
        <f>+EECA_data_18!Q33*EECA_data_18!S33</f>
        <v>2.4027775754842988</v>
      </c>
      <c r="L87" s="55"/>
      <c r="M87" s="25"/>
      <c r="N87" s="314">
        <v>1</v>
      </c>
      <c r="O87" s="314"/>
      <c r="P87" s="25"/>
      <c r="Q87" s="25"/>
      <c r="R87" s="25"/>
      <c r="S87" s="55"/>
      <c r="T87" s="147"/>
      <c r="U87" s="55"/>
      <c r="V87" s="55"/>
      <c r="W87" s="55"/>
      <c r="X87" s="314"/>
      <c r="Y87" s="55"/>
      <c r="Z87" s="55"/>
      <c r="AA87" s="55"/>
      <c r="AC87" s="56"/>
      <c r="AD87" s="56"/>
      <c r="AE87" s="291"/>
    </row>
    <row r="88" spans="3:57" ht="15.75" customHeight="1">
      <c r="C88" s="27" t="str">
        <f t="shared" si="5"/>
        <v>T_F_ISHIPP15</v>
      </c>
      <c r="D88" s="26" t="s">
        <v>108</v>
      </c>
      <c r="E88" s="27" t="str">
        <f>+E18</f>
        <v>T_F_ISHIP</v>
      </c>
      <c r="F88" s="58"/>
      <c r="G88" s="25">
        <v>1</v>
      </c>
      <c r="H88" s="55">
        <v>60</v>
      </c>
      <c r="I88" s="146"/>
      <c r="J88" s="25">
        <f>+EECA_data_15!O33*EECA_data_15!Q33</f>
        <v>3.0599395527913851</v>
      </c>
      <c r="K88" s="25">
        <f>+EECA_data_18!Q34*EECA_data_18!S34</f>
        <v>2.8963923568300607</v>
      </c>
      <c r="L88" s="25"/>
      <c r="M88" s="25"/>
      <c r="N88" s="314">
        <v>1</v>
      </c>
      <c r="O88" s="314"/>
      <c r="P88" s="25"/>
      <c r="Q88" s="25"/>
      <c r="R88" s="25"/>
      <c r="S88" s="55"/>
      <c r="T88" s="147"/>
      <c r="U88" s="55"/>
      <c r="V88" s="55"/>
      <c r="W88" s="55"/>
      <c r="X88" s="55"/>
      <c r="Y88" s="55"/>
      <c r="Z88" s="55"/>
      <c r="AA88" s="55"/>
      <c r="AC88" s="56"/>
      <c r="AD88" s="56"/>
      <c r="AE88" s="291"/>
      <c r="AW88" s="307"/>
      <c r="AX88" s="307"/>
      <c r="AY88" s="307"/>
      <c r="AZ88" s="56"/>
      <c r="BA88" s="56"/>
      <c r="BB88" s="56"/>
      <c r="BC88" s="56"/>
      <c r="BE88" s="56"/>
    </row>
    <row r="89" spans="3:57" ht="15.75" customHeight="1">
      <c r="C89" s="27" t="str">
        <f t="shared" si="5"/>
        <v>T_O_FuelJet</v>
      </c>
      <c r="D89" s="26" t="str">
        <f t="shared" ref="D89" si="12">"TRA"&amp;RIGHT(C89,3)</f>
        <v>TRAJet</v>
      </c>
      <c r="E89" s="27" t="str">
        <f>+E19</f>
        <v>T_O_JET</v>
      </c>
      <c r="F89" s="58"/>
      <c r="G89" s="25">
        <v>1</v>
      </c>
      <c r="H89" s="55">
        <v>60</v>
      </c>
      <c r="I89" s="146"/>
      <c r="J89" s="25">
        <f>+EECA_data_15!O26*EECA_data_15!Q26</f>
        <v>4.2202067999129724</v>
      </c>
      <c r="K89" s="25">
        <f>+EECA_data_18!Q27*EECA_data_18!S27</f>
        <v>5.5187570918086397</v>
      </c>
      <c r="L89" s="25"/>
      <c r="M89" s="25"/>
      <c r="N89" s="314">
        <v>1</v>
      </c>
      <c r="O89" s="314"/>
      <c r="P89" s="25"/>
      <c r="Q89" s="25"/>
      <c r="R89" s="25"/>
      <c r="S89" s="55"/>
      <c r="T89" s="147"/>
      <c r="U89" s="55"/>
      <c r="V89" s="55"/>
      <c r="W89" s="55"/>
      <c r="X89" s="55"/>
      <c r="Y89" s="55"/>
      <c r="Z89" s="55"/>
      <c r="AA89" s="55"/>
      <c r="AC89" s="56"/>
      <c r="AD89" s="56"/>
      <c r="AE89" s="291"/>
      <c r="AZ89" s="56"/>
      <c r="BA89" s="56"/>
      <c r="BB89" s="56"/>
      <c r="BC89" s="56"/>
      <c r="BE89" s="56"/>
    </row>
    <row r="90" spans="3:57" ht="15.75" customHeight="1">
      <c r="C90" s="27" t="str">
        <f t="shared" si="5"/>
        <v>T_O_FuelJet_Int</v>
      </c>
      <c r="D90" s="27" t="s">
        <v>166</v>
      </c>
      <c r="E90" s="27" t="str">
        <f>+E20</f>
        <v>T_O_JET_Int</v>
      </c>
      <c r="F90" s="58"/>
      <c r="G90" s="25">
        <v>1</v>
      </c>
      <c r="H90" s="55">
        <v>60</v>
      </c>
      <c r="I90" s="146"/>
      <c r="J90" s="25">
        <f>+EECA_data_15!O27*EECA_data_15!Q27</f>
        <v>8.0713324457249893</v>
      </c>
      <c r="K90" s="25">
        <f>+EECA_data_18!Q28*EECA_data_18!S28</f>
        <v>11.429025798843908</v>
      </c>
      <c r="L90" s="25"/>
      <c r="M90" s="25"/>
      <c r="N90" s="314">
        <v>1</v>
      </c>
      <c r="O90" s="314"/>
      <c r="P90" s="25"/>
      <c r="Q90" s="25"/>
      <c r="R90" s="25"/>
      <c r="S90" s="55"/>
      <c r="T90" s="147"/>
      <c r="U90" s="55"/>
      <c r="V90" s="55"/>
      <c r="W90" s="55"/>
      <c r="X90" s="55"/>
      <c r="Y90" s="55"/>
      <c r="Z90" s="55"/>
      <c r="AA90" s="55"/>
      <c r="AC90" s="56"/>
      <c r="AD90" s="56"/>
      <c r="AE90" s="291"/>
      <c r="AW90" s="307"/>
      <c r="AX90" s="307"/>
      <c r="AY90" s="307"/>
      <c r="BE90" s="56"/>
    </row>
    <row r="91" spans="3:57" ht="15.75" customHeight="1">
      <c r="C91" s="27" t="str">
        <f t="shared" si="5"/>
        <v>T_R_Rail15</v>
      </c>
      <c r="D91" s="27" t="str">
        <f>+D80</f>
        <v>TRADSL</v>
      </c>
      <c r="E91" s="27" t="str">
        <f>+E15</f>
        <v>T_F_Rail</v>
      </c>
      <c r="F91" s="58"/>
      <c r="G91" s="25">
        <v>1</v>
      </c>
      <c r="H91" s="55">
        <v>60</v>
      </c>
      <c r="I91" s="146"/>
      <c r="J91" s="25">
        <f>+EECA_data_15!O28*EECA_data_15!Q28+EECA_data_15!O30*EECA_data_15!Q30</f>
        <v>0.5655245252894</v>
      </c>
      <c r="K91" s="25">
        <f>+EECA_data_18!Q29*EECA_data_18!S29+EECA_data_18!Q31*EECA_data_18!S31</f>
        <v>0.42437360979839317</v>
      </c>
      <c r="L91" s="25"/>
      <c r="M91" s="25"/>
      <c r="N91" s="314">
        <v>1</v>
      </c>
      <c r="O91" s="314"/>
      <c r="P91" s="25"/>
      <c r="Q91" s="25"/>
      <c r="R91" s="25"/>
      <c r="S91" s="55"/>
      <c r="T91" s="147"/>
      <c r="U91" s="55"/>
      <c r="V91" s="55"/>
      <c r="W91" s="55"/>
      <c r="X91" s="55"/>
      <c r="Y91" s="55"/>
      <c r="Z91" s="55"/>
      <c r="AA91" s="55"/>
      <c r="AC91" s="56"/>
      <c r="AD91" s="56"/>
      <c r="AE91" s="291"/>
    </row>
    <row r="92" spans="3:57" ht="15.75" customHeight="1">
      <c r="C92" s="27" t="str">
        <f t="shared" si="5"/>
        <v>T_P_Rail15</v>
      </c>
      <c r="D92" s="27" t="str">
        <f>+D81</f>
        <v>TRAELC</v>
      </c>
      <c r="E92" s="27" t="str">
        <f>+E16</f>
        <v>T_P_Rail</v>
      </c>
      <c r="F92" s="58"/>
      <c r="G92" s="25">
        <v>1</v>
      </c>
      <c r="H92" s="55">
        <v>60</v>
      </c>
      <c r="I92" s="146"/>
      <c r="J92" s="25">
        <f>+EECA_data_15!O29*EECA_data_15!Q29+EECA_data_15!O31*EECA_data_15!Q31</f>
        <v>2.5286744E-2</v>
      </c>
      <c r="K92" s="25">
        <f>+EECA_data_18!Q30*EECA_data_18!S30+EECA_data_18!Q32*EECA_data_18!S32</f>
        <v>1.4497948717948718E-2</v>
      </c>
      <c r="L92" s="25"/>
      <c r="M92" s="25"/>
      <c r="N92" s="314">
        <v>1</v>
      </c>
      <c r="O92" s="55"/>
      <c r="P92" s="55"/>
      <c r="Q92" s="55"/>
      <c r="R92" s="55"/>
      <c r="S92" s="55"/>
      <c r="T92" s="147"/>
      <c r="U92" s="55"/>
      <c r="V92" s="55"/>
      <c r="W92" s="55"/>
      <c r="X92" s="55"/>
      <c r="Y92" s="55"/>
      <c r="Z92" s="55"/>
      <c r="AA92" s="55"/>
      <c r="AC92" s="56"/>
      <c r="AD92" s="56"/>
      <c r="AE92" s="291"/>
      <c r="AL92" s="307"/>
      <c r="AM92" s="307"/>
      <c r="AN92" s="307"/>
      <c r="AO92" s="307"/>
      <c r="AP92" s="307"/>
    </row>
    <row r="93" spans="3:57" ht="15.75" customHeight="1"/>
    <row r="94" spans="3:57" ht="15.75" customHeight="1">
      <c r="S94" s="2" t="s">
        <v>337</v>
      </c>
    </row>
    <row r="95" spans="3:57" ht="15.75" customHeight="1">
      <c r="AL95" s="307"/>
      <c r="AM95" s="307"/>
      <c r="AO95" s="307"/>
      <c r="AP95" s="307"/>
    </row>
    <row r="96" spans="3:57" ht="15.75" customHeight="1">
      <c r="C96" s="44" t="s">
        <v>154</v>
      </c>
      <c r="D96" s="45"/>
      <c r="S96" s="56">
        <f>J84*10^9</f>
        <v>14519.030475250149</v>
      </c>
      <c r="T96" s="2">
        <f>T84*1000</f>
        <v>7.6834667428695997</v>
      </c>
    </row>
    <row r="97" spans="3:42" ht="15.75" customHeight="1">
      <c r="C97" s="46" t="s">
        <v>0</v>
      </c>
      <c r="D97" s="47" t="s">
        <v>325</v>
      </c>
      <c r="E97" s="47" t="s">
        <v>326</v>
      </c>
      <c r="F97" s="47">
        <v>2018</v>
      </c>
      <c r="G97" s="47">
        <v>2021</v>
      </c>
      <c r="H97" s="47">
        <v>2025</v>
      </c>
      <c r="I97" s="47">
        <v>2030</v>
      </c>
      <c r="J97" s="47">
        <v>2035</v>
      </c>
      <c r="K97" s="47">
        <v>2040</v>
      </c>
      <c r="L97" s="47">
        <v>2045</v>
      </c>
      <c r="M97" s="47">
        <v>2050</v>
      </c>
      <c r="N97" s="47">
        <v>2055</v>
      </c>
      <c r="O97" s="47">
        <v>2060</v>
      </c>
      <c r="S97" s="2">
        <f>S96/T96</f>
        <v>1889.6457759414498</v>
      </c>
    </row>
    <row r="98" spans="3:42" ht="15.75" customHeight="1">
      <c r="C98" s="45" t="str">
        <f t="shared" ref="C98:C103" si="13">+E8</f>
        <v>T_P_Car</v>
      </c>
      <c r="D98" s="54">
        <f t="shared" ref="D98:D110" si="14">+SUMIF($E$64:$E$92,C98,$J$64:$J$92)</f>
        <v>8.1211349999999989</v>
      </c>
      <c r="E98" s="278">
        <f>+D98*2/3+F98*1/3</f>
        <v>8.5209696962958503</v>
      </c>
      <c r="F98" s="54">
        <f t="shared" ref="F98:F110" si="15">+SUMIF($E$64:$E$92,C98,$K$64:$K$92)</f>
        <v>9.3206390888875568</v>
      </c>
      <c r="G98" s="54">
        <f>+Demand_proj!V2</f>
        <v>9.24</v>
      </c>
      <c r="H98" s="54">
        <f>+Demand_proj!W2</f>
        <v>9.9</v>
      </c>
      <c r="I98" s="54">
        <f>+Demand_proj!X2</f>
        <v>10.8</v>
      </c>
      <c r="J98" s="54">
        <f>+Demand_proj!Y2</f>
        <v>12.05</v>
      </c>
      <c r="K98" s="54">
        <f>+Demand_proj!Z2</f>
        <v>13.2</v>
      </c>
      <c r="L98" s="54">
        <f>+Demand_proj!AA2</f>
        <v>13.98</v>
      </c>
      <c r="M98" s="54">
        <f>+Demand_proj!AB2</f>
        <v>14.88</v>
      </c>
      <c r="N98" s="54">
        <f>+Demand_proj!AC2</f>
        <v>15.84</v>
      </c>
      <c r="O98" s="54">
        <f>+Demand_proj!AD2</f>
        <v>16.68</v>
      </c>
      <c r="AL98" s="307"/>
      <c r="AM98" s="307"/>
      <c r="AO98" s="307"/>
      <c r="AP98" s="307"/>
    </row>
    <row r="99" spans="3:42" ht="15.75" customHeight="1">
      <c r="C99" s="45" t="str">
        <f t="shared" si="13"/>
        <v>T_C_Car</v>
      </c>
      <c r="D99" s="54">
        <f t="shared" si="14"/>
        <v>2.2121777972027972</v>
      </c>
      <c r="E99" s="278">
        <f t="shared" ref="E99:E110" si="16">+D99*2/3+F99*1/3</f>
        <v>2.3577912765235549</v>
      </c>
      <c r="F99" s="54">
        <f t="shared" si="15"/>
        <v>2.6490182351650708</v>
      </c>
      <c r="G99" s="54">
        <f>+Demand_proj!V3</f>
        <v>2.69</v>
      </c>
      <c r="H99" s="54">
        <f>+Demand_proj!W3</f>
        <v>2.95</v>
      </c>
      <c r="I99" s="54">
        <f>+Demand_proj!X3</f>
        <v>3.31</v>
      </c>
      <c r="J99" s="54">
        <f>+Demand_proj!Y3</f>
        <v>3.83</v>
      </c>
      <c r="K99" s="54">
        <f>+Demand_proj!Z3</f>
        <v>4.3600000000000003</v>
      </c>
      <c r="L99" s="54">
        <f>+Demand_proj!AA3</f>
        <v>4.82</v>
      </c>
      <c r="M99" s="54">
        <f>+Demand_proj!AB3</f>
        <v>5.36</v>
      </c>
      <c r="N99" s="54">
        <f>+Demand_proj!AC3</f>
        <v>5.94</v>
      </c>
      <c r="O99" s="54">
        <f>+Demand_proj!AD3</f>
        <v>6.49</v>
      </c>
    </row>
    <row r="100" spans="3:42" ht="15.75" customHeight="1">
      <c r="C100" s="45" t="str">
        <f t="shared" si="13"/>
        <v>T_P_Mcy</v>
      </c>
      <c r="D100" s="54">
        <f t="shared" si="14"/>
        <v>0.11165000000000001</v>
      </c>
      <c r="E100" s="278">
        <f t="shared" si="16"/>
        <v>0.11298872976800947</v>
      </c>
      <c r="F100" s="54">
        <f t="shared" si="15"/>
        <v>0.11566618930402839</v>
      </c>
      <c r="G100" s="54">
        <f>+Demand_proj!V6</f>
        <v>0.43587044534412961</v>
      </c>
      <c r="H100" s="54">
        <f>+Demand_proj!W6</f>
        <v>0.46354475933423311</v>
      </c>
      <c r="I100" s="54">
        <f>+Demand_proj!X6</f>
        <v>0.49813765182186237</v>
      </c>
      <c r="J100" s="54">
        <f>+Demand_proj!Y6</f>
        <v>0.53273054430949174</v>
      </c>
      <c r="K100" s="54">
        <f>+Demand_proj!Z6</f>
        <v>0.5604048582995953</v>
      </c>
      <c r="L100" s="54">
        <f>+Demand_proj!AA6</f>
        <v>0.56732343679712105</v>
      </c>
      <c r="M100" s="54">
        <f>+Demand_proj!AB6</f>
        <v>0.57424201529464691</v>
      </c>
      <c r="N100" s="54">
        <f>+Demand_proj!AC6</f>
        <v>0.58807917228969864</v>
      </c>
      <c r="O100" s="54">
        <f>+Demand_proj!AD6</f>
        <v>0.58807917228969864</v>
      </c>
    </row>
    <row r="101" spans="3:42" ht="15.75" customHeight="1">
      <c r="C101" s="45" t="str">
        <f t="shared" si="13"/>
        <v>T_P_Bus</v>
      </c>
      <c r="D101" s="54">
        <f t="shared" si="14"/>
        <v>8.6125000000000007E-2</v>
      </c>
      <c r="E101" s="278">
        <f t="shared" si="16"/>
        <v>9.1041435893748357E-2</v>
      </c>
      <c r="F101" s="54">
        <f t="shared" si="15"/>
        <v>0.10087430768124507</v>
      </c>
      <c r="G101" s="54">
        <f>+Demand_proj!V7</f>
        <v>0.11</v>
      </c>
      <c r="H101" s="54">
        <f>+Demand_proj!W7</f>
        <v>0.12</v>
      </c>
      <c r="I101" s="54">
        <f>+Demand_proj!X7</f>
        <v>0.13</v>
      </c>
      <c r="J101" s="54">
        <f>+Demand_proj!Y7</f>
        <v>0.14000000000000001</v>
      </c>
      <c r="K101" s="54">
        <f>+Demand_proj!Z7</f>
        <v>0.14000000000000001</v>
      </c>
      <c r="L101" s="54">
        <f>+Demand_proj!AA7</f>
        <v>0.14000000000000001</v>
      </c>
      <c r="M101" s="54">
        <f>+Demand_proj!AB7</f>
        <v>0.14000000000000001</v>
      </c>
      <c r="N101" s="54">
        <f>+Demand_proj!AC7</f>
        <v>0.14000000000000001</v>
      </c>
      <c r="O101" s="54">
        <f>+Demand_proj!AD7</f>
        <v>0.15</v>
      </c>
      <c r="S101" s="353">
        <f>K82/T82</f>
        <v>3.7487694052204877E-3</v>
      </c>
    </row>
    <row r="102" spans="3:42" ht="15.75" customHeight="1">
      <c r="C102" s="45" t="str">
        <f t="shared" si="13"/>
        <v>T_F_MTrk</v>
      </c>
      <c r="D102" s="54">
        <f t="shared" si="14"/>
        <v>0.24444551903047526</v>
      </c>
      <c r="E102" s="278">
        <f t="shared" si="16"/>
        <v>0.24630101437141638</v>
      </c>
      <c r="F102" s="54">
        <f t="shared" si="15"/>
        <v>0.25001200505329868</v>
      </c>
      <c r="G102" s="54">
        <f>+Demand_proj!V4</f>
        <v>0.25</v>
      </c>
      <c r="H102" s="54">
        <f>+Demand_proj!W4</f>
        <v>0.27</v>
      </c>
      <c r="I102" s="54">
        <f>+Demand_proj!X4</f>
        <v>0.28999999999999998</v>
      </c>
      <c r="J102" s="54">
        <f>+Demand_proj!Y4</f>
        <v>0.31</v>
      </c>
      <c r="K102" s="54">
        <f>+Demand_proj!Z4</f>
        <v>0.32</v>
      </c>
      <c r="L102" s="54">
        <f>+Demand_proj!AA4</f>
        <v>0.33</v>
      </c>
      <c r="M102" s="54">
        <f>+Demand_proj!AB4</f>
        <v>0.33</v>
      </c>
      <c r="N102" s="54">
        <f>+Demand_proj!AC4</f>
        <v>0.34</v>
      </c>
      <c r="O102" s="54">
        <f>+Demand_proj!AD4</f>
        <v>0.34</v>
      </c>
      <c r="S102" s="353">
        <f t="shared" ref="S102:S103" si="17">K83/T83</f>
        <v>1.0569304858734864E-2</v>
      </c>
    </row>
    <row r="103" spans="3:42" ht="15.75" customHeight="1">
      <c r="C103" s="45" t="str">
        <f t="shared" si="13"/>
        <v>T_F_HTrk</v>
      </c>
      <c r="D103" s="54">
        <f t="shared" si="14"/>
        <v>0</v>
      </c>
      <c r="E103" s="278">
        <f t="shared" si="16"/>
        <v>6.7666666666666667E-2</v>
      </c>
      <c r="F103" s="54">
        <f t="shared" si="15"/>
        <v>0.20300000000000001</v>
      </c>
      <c r="G103" s="54">
        <f>+Demand_proj!V5</f>
        <v>0.19412955465587045</v>
      </c>
      <c r="H103" s="54">
        <f>+Demand_proj!W5</f>
        <v>0.20645524066576701</v>
      </c>
      <c r="I103" s="54">
        <f>+Demand_proj!X5</f>
        <v>0.22186234817813766</v>
      </c>
      <c r="J103" s="54">
        <f>+Demand_proj!Y5</f>
        <v>0.23726945569050834</v>
      </c>
      <c r="K103" s="54">
        <f>+Demand_proj!Z5</f>
        <v>0.24959514170040489</v>
      </c>
      <c r="L103" s="54">
        <f>+Demand_proj!AA5</f>
        <v>0.25267656320287901</v>
      </c>
      <c r="M103" s="54">
        <f>+Demand_proj!AB5</f>
        <v>0.25575798470535316</v>
      </c>
      <c r="N103" s="54">
        <f>+Demand_proj!AC5</f>
        <v>0.2619208277103014</v>
      </c>
      <c r="O103" s="54">
        <f>+Demand_proj!AD5</f>
        <v>0.2619208277103014</v>
      </c>
      <c r="S103" s="353">
        <f t="shared" si="17"/>
        <v>1.5624526923076923E-3</v>
      </c>
    </row>
    <row r="104" spans="3:42" ht="15.75" customHeight="1">
      <c r="C104" s="45" t="s">
        <v>334</v>
      </c>
      <c r="D104" s="54">
        <f t="shared" si="14"/>
        <v>0</v>
      </c>
      <c r="E104" s="278"/>
      <c r="F104" s="54">
        <f>+SUMIF($E$64:$E$92,C104,$K$64:$K$92)</f>
        <v>0.45500000000000002</v>
      </c>
      <c r="G104" s="54">
        <f>+Demand_proj!V6</f>
        <v>0.43587044534412961</v>
      </c>
      <c r="H104" s="54">
        <f>+Demand_proj!W6</f>
        <v>0.46354475933423311</v>
      </c>
      <c r="I104" s="54">
        <f>+Demand_proj!X6</f>
        <v>0.49813765182186237</v>
      </c>
      <c r="J104" s="54">
        <f>+Demand_proj!Y6</f>
        <v>0.53273054430949174</v>
      </c>
      <c r="K104" s="54">
        <f>+Demand_proj!Z6</f>
        <v>0.5604048582995953</v>
      </c>
      <c r="L104" s="54">
        <f>+Demand_proj!AA6</f>
        <v>0.56732343679712105</v>
      </c>
      <c r="M104" s="54">
        <f>+Demand_proj!AB6</f>
        <v>0.57424201529464691</v>
      </c>
      <c r="N104" s="54">
        <f>+Demand_proj!AC6</f>
        <v>0.58807917228969864</v>
      </c>
      <c r="O104" s="54">
        <f>+Demand_proj!AD6</f>
        <v>0.58807917228969864</v>
      </c>
    </row>
    <row r="105" spans="3:42" ht="15.75" customHeight="1">
      <c r="C105" s="45" t="str">
        <f>+E17</f>
        <v>T_F_DSHIP</v>
      </c>
      <c r="D105" s="54">
        <f t="shared" si="14"/>
        <v>3.8910573447709011</v>
      </c>
      <c r="E105" s="278">
        <f t="shared" si="16"/>
        <v>3.3949640883420336</v>
      </c>
      <c r="F105" s="54">
        <f t="shared" si="15"/>
        <v>2.4027775754842988</v>
      </c>
      <c r="G105" s="54">
        <f>+Demand_proj!V8</f>
        <v>0.1</v>
      </c>
      <c r="H105" s="54">
        <f>+Demand_proj!W8</f>
        <v>0.11</v>
      </c>
      <c r="I105" s="54">
        <f>+Demand_proj!X8</f>
        <v>0.13</v>
      </c>
      <c r="J105" s="54">
        <f>+Demand_proj!Y8</f>
        <v>0.15</v>
      </c>
      <c r="K105" s="54">
        <f>+Demand_proj!Z8</f>
        <v>0.18</v>
      </c>
      <c r="L105" s="54">
        <f>+Demand_proj!AA8</f>
        <v>0.2</v>
      </c>
      <c r="M105" s="54">
        <f>+Demand_proj!AB8</f>
        <v>0.22</v>
      </c>
      <c r="N105" s="54">
        <f>+Demand_proj!AC8</f>
        <v>0.25</v>
      </c>
      <c r="O105" s="54">
        <f>+Demand_proj!AD8</f>
        <v>0.28000000000000003</v>
      </c>
    </row>
    <row r="106" spans="3:42" ht="15.75" customHeight="1">
      <c r="C106" s="45" t="str">
        <f>+E18</f>
        <v>T_F_ISHIP</v>
      </c>
      <c r="D106" s="54">
        <f t="shared" si="14"/>
        <v>3.0599395527913851</v>
      </c>
      <c r="E106" s="278">
        <f t="shared" si="16"/>
        <v>3.0054238208042769</v>
      </c>
      <c r="F106" s="54">
        <f t="shared" si="15"/>
        <v>2.8963923568300607</v>
      </c>
      <c r="G106" s="54">
        <f>+Demand_proj!V9</f>
        <v>2.4</v>
      </c>
      <c r="H106" s="54">
        <f>+Demand_proj!W9</f>
        <v>2.4900000000000002</v>
      </c>
      <c r="I106" s="54">
        <f>+Demand_proj!X9</f>
        <v>2.59</v>
      </c>
      <c r="J106" s="54">
        <f>+Demand_proj!Y9</f>
        <v>2.68</v>
      </c>
      <c r="K106" s="54">
        <f>+Demand_proj!Z9</f>
        <v>2.78</v>
      </c>
      <c r="L106" s="54">
        <f>+Demand_proj!AA9</f>
        <v>2.89</v>
      </c>
      <c r="M106" s="54">
        <f>+Demand_proj!AB9</f>
        <v>3</v>
      </c>
      <c r="N106" s="54">
        <f>+Demand_proj!AC9</f>
        <v>3.11</v>
      </c>
      <c r="O106" s="54">
        <f>+Demand_proj!AD9</f>
        <v>3.22</v>
      </c>
      <c r="AD106" s="307"/>
    </row>
    <row r="107" spans="3:42" ht="15.75" customHeight="1">
      <c r="C107" s="45" t="str">
        <f>+E19</f>
        <v>T_O_JET</v>
      </c>
      <c r="D107" s="54">
        <f t="shared" si="14"/>
        <v>4.2202067999129724</v>
      </c>
      <c r="E107" s="278">
        <f t="shared" si="16"/>
        <v>4.6530568972115276</v>
      </c>
      <c r="F107" s="54">
        <f t="shared" si="15"/>
        <v>5.5187570918086397</v>
      </c>
      <c r="G107" s="54">
        <f>+Demand_proj!V10</f>
        <v>2.56</v>
      </c>
      <c r="H107" s="54">
        <f>+Demand_proj!W10</f>
        <v>2.73</v>
      </c>
      <c r="I107" s="54">
        <f>+Demand_proj!X10</f>
        <v>2.98</v>
      </c>
      <c r="J107" s="54">
        <f>+Demand_proj!Y10</f>
        <v>3.36</v>
      </c>
      <c r="K107" s="54">
        <f>+Demand_proj!Z10</f>
        <v>3.84</v>
      </c>
      <c r="L107" s="54">
        <f>+Demand_proj!AA10</f>
        <v>4.1500000000000004</v>
      </c>
      <c r="M107" s="54">
        <f>+Demand_proj!AB10</f>
        <v>4.45</v>
      </c>
      <c r="N107" s="54">
        <f>+Demand_proj!AC10</f>
        <v>4.6900000000000004</v>
      </c>
      <c r="O107" s="54">
        <f>+Demand_proj!AD10</f>
        <v>4.9400000000000004</v>
      </c>
      <c r="R107" s="2">
        <f>K84/M84</f>
        <v>1.5006316623316528E-4</v>
      </c>
    </row>
    <row r="108" spans="3:42" ht="15.75" customHeight="1">
      <c r="C108" s="45" t="str">
        <f>+E20</f>
        <v>T_O_JET_Int</v>
      </c>
      <c r="D108" s="54">
        <f t="shared" si="14"/>
        <v>8.0713324457249893</v>
      </c>
      <c r="E108" s="278">
        <f t="shared" si="16"/>
        <v>9.1905635634312954</v>
      </c>
      <c r="F108" s="54">
        <f t="shared" si="15"/>
        <v>11.429025798843908</v>
      </c>
      <c r="G108" s="54">
        <f>+Demand_proj!V11</f>
        <v>5.52</v>
      </c>
      <c r="H108" s="54">
        <f>+Demand_proj!W11</f>
        <v>5.97</v>
      </c>
      <c r="I108" s="54">
        <f>+Demand_proj!X11</f>
        <v>6.82</v>
      </c>
      <c r="J108" s="54">
        <f>+Demand_proj!Y11</f>
        <v>8.01</v>
      </c>
      <c r="K108" s="54">
        <f>+Demand_proj!Z11</f>
        <v>9.33</v>
      </c>
      <c r="L108" s="54">
        <f>+Demand_proj!AA11</f>
        <v>10.29</v>
      </c>
      <c r="M108" s="54">
        <f>+Demand_proj!AB11</f>
        <v>11.36</v>
      </c>
      <c r="N108" s="54">
        <f>+Demand_proj!AC11</f>
        <v>12.54</v>
      </c>
      <c r="O108" s="54">
        <f>+Demand_proj!AD11</f>
        <v>13.09</v>
      </c>
      <c r="AD108" s="307"/>
    </row>
    <row r="109" spans="3:42" ht="15.75" customHeight="1">
      <c r="C109" s="45" t="str">
        <f>+E91</f>
        <v>T_F_Rail</v>
      </c>
      <c r="D109" s="54">
        <f t="shared" si="14"/>
        <v>0.5655245252894</v>
      </c>
      <c r="E109" s="278">
        <f t="shared" si="16"/>
        <v>0.51847422012573108</v>
      </c>
      <c r="F109" s="54">
        <f t="shared" si="15"/>
        <v>0.42437360979839317</v>
      </c>
      <c r="G109" s="54">
        <f>+Demand_proj!V12</f>
        <v>11.43</v>
      </c>
      <c r="H109" s="54">
        <f>+Demand_proj!W12</f>
        <v>12.36</v>
      </c>
      <c r="I109" s="54">
        <f>+Demand_proj!X12</f>
        <v>14.02</v>
      </c>
      <c r="J109" s="54">
        <f>+Demand_proj!Y12</f>
        <v>16.600000000000001</v>
      </c>
      <c r="K109" s="54">
        <f>+Demand_proj!Z12</f>
        <v>19.55</v>
      </c>
      <c r="L109" s="54">
        <f>+Demand_proj!AA12</f>
        <v>21.71</v>
      </c>
      <c r="M109" s="54">
        <f>+Demand_proj!AB12</f>
        <v>24.16</v>
      </c>
      <c r="N109" s="54">
        <f>+Demand_proj!AC12</f>
        <v>26.89</v>
      </c>
      <c r="O109" s="54">
        <f>+Demand_proj!AD12</f>
        <v>28.21</v>
      </c>
    </row>
    <row r="110" spans="3:42" ht="15.75" customHeight="1">
      <c r="C110" s="45" t="str">
        <f>+E92</f>
        <v>T_P_Rail</v>
      </c>
      <c r="D110" s="54">
        <f t="shared" si="14"/>
        <v>2.5286744E-2</v>
      </c>
      <c r="E110" s="278">
        <f t="shared" si="16"/>
        <v>2.1690478905982906E-2</v>
      </c>
      <c r="F110" s="54">
        <f t="shared" si="15"/>
        <v>1.4497948717948718E-2</v>
      </c>
      <c r="G110" s="54">
        <f>+Demand_proj!V13</f>
        <v>0.41</v>
      </c>
      <c r="H110" s="54">
        <f>+Demand_proj!W13</f>
        <v>0.4</v>
      </c>
      <c r="I110" s="54">
        <f>+Demand_proj!X13</f>
        <v>0.41</v>
      </c>
      <c r="J110" s="54">
        <f>+Demand_proj!Y13</f>
        <v>0.44</v>
      </c>
      <c r="K110" s="54">
        <f>+Demand_proj!Z13</f>
        <v>0.46</v>
      </c>
      <c r="L110" s="54">
        <f>+Demand_proj!AA13</f>
        <v>0.48</v>
      </c>
      <c r="M110" s="54">
        <f>+Demand_proj!AB13</f>
        <v>0.49</v>
      </c>
      <c r="N110" s="54">
        <f>+Demand_proj!AC13</f>
        <v>0.5</v>
      </c>
      <c r="O110" s="54">
        <f>+Demand_proj!AD13</f>
        <v>0.5</v>
      </c>
    </row>
    <row r="111" spans="3:42" ht="15.75" customHeight="1">
      <c r="C111" s="45"/>
      <c r="D111" s="54"/>
      <c r="E111" s="54"/>
      <c r="F111" s="54"/>
      <c r="G111" s="54"/>
      <c r="H111" s="54"/>
      <c r="I111" s="54"/>
      <c r="J111" s="54"/>
      <c r="K111" s="54"/>
      <c r="L111" s="54"/>
      <c r="AD111" s="307"/>
    </row>
    <row r="112" spans="3:42" ht="15.75" customHeight="1">
      <c r="C112" s="45"/>
      <c r="D112" s="54"/>
    </row>
    <row r="113" spans="11:31" ht="15.75" customHeight="1">
      <c r="AE113" s="307"/>
    </row>
    <row r="114" spans="11:31" ht="15.75" customHeight="1"/>
    <row r="115" spans="11:31" ht="15.75" customHeight="1"/>
    <row r="116" spans="11:31" ht="15.75" customHeight="1"/>
    <row r="117" spans="11:31" ht="15.75" customHeight="1"/>
    <row r="118" spans="11:31" ht="15.75" customHeight="1"/>
    <row r="119" spans="11:31" ht="15.75" customHeight="1"/>
    <row r="120" spans="11:31" ht="15.75" customHeight="1"/>
    <row r="121" spans="11:31" ht="15.75" customHeight="1">
      <c r="K121" s="2" t="s">
        <v>309</v>
      </c>
    </row>
    <row r="122" spans="11:31" ht="15.75" customHeight="1"/>
    <row r="123" spans="11:31" ht="15.75" customHeight="1"/>
    <row r="124" spans="11:31" ht="15.75" customHeight="1"/>
    <row r="125" spans="11:31" ht="15.75" customHeight="1"/>
    <row r="126" spans="11:31" ht="15.75" customHeight="1"/>
    <row r="127" spans="11:31" ht="15.75" customHeight="1"/>
    <row r="128" spans="11:31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</sheetData>
  <mergeCells count="2">
    <mergeCell ref="B64:B70"/>
    <mergeCell ref="B73:B7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9.140625" style="36"/>
    <col min="5" max="16384" width="9.140625" style="1"/>
  </cols>
  <sheetData>
    <row r="2" spans="2:8">
      <c r="B2" s="29"/>
      <c r="F2" s="30"/>
      <c r="G2" s="30"/>
    </row>
    <row r="3" spans="2:8" s="36" customFormat="1">
      <c r="B3" s="29" t="s">
        <v>70</v>
      </c>
      <c r="F3" s="30"/>
      <c r="G3" s="30"/>
    </row>
    <row r="4" spans="2:8" ht="13.5" thickBot="1">
      <c r="B4" s="31" t="s">
        <v>0</v>
      </c>
      <c r="C4" s="31" t="str">
        <f>+TRA_FuelSupply!D8</f>
        <v>TRANGA</v>
      </c>
      <c r="D4" s="31" t="str">
        <f>+TRA_FuelSupply!D10</f>
        <v>TRALPG</v>
      </c>
      <c r="E4" s="31" t="str">
        <f>+TRA_FuelSupply!D11</f>
        <v>TRAPET</v>
      </c>
      <c r="F4" s="31" t="str">
        <f>+TRA_FuelSupply!D12</f>
        <v>TRADSL</v>
      </c>
      <c r="G4" s="31" t="str">
        <f>+TRA_FuelSupply!D13</f>
        <v>TRAJET</v>
      </c>
      <c r="H4" s="31" t="s">
        <v>108</v>
      </c>
    </row>
    <row r="5" spans="2:8" ht="13.5" thickBot="1">
      <c r="B5" s="32" t="s">
        <v>45</v>
      </c>
      <c r="C5" s="32" t="s">
        <v>48</v>
      </c>
      <c r="D5" s="32" t="s">
        <v>48</v>
      </c>
      <c r="E5" s="32" t="s">
        <v>48</v>
      </c>
      <c r="F5" s="32" t="s">
        <v>48</v>
      </c>
      <c r="G5" s="32" t="s">
        <v>48</v>
      </c>
      <c r="H5" s="32" t="s">
        <v>48</v>
      </c>
    </row>
    <row r="6" spans="2:8">
      <c r="B6" s="33" t="str">
        <f>+TRA_FuelSupply!D17</f>
        <v>TRACO2</v>
      </c>
      <c r="C6" s="35">
        <f>+D25</f>
        <v>53.96</v>
      </c>
      <c r="D6" s="35">
        <f>+F20</f>
        <v>60.43</v>
      </c>
      <c r="E6" s="34">
        <f>+F15</f>
        <v>66.58</v>
      </c>
      <c r="F6" s="34">
        <f>+F17</f>
        <v>69.69</v>
      </c>
      <c r="G6" s="34">
        <f>+F18</f>
        <v>68.53</v>
      </c>
      <c r="H6" s="34">
        <f>+F21</f>
        <v>73.63</v>
      </c>
    </row>
    <row r="7" spans="2:8">
      <c r="F7" s="30"/>
      <c r="G7" s="30"/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36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36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36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36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36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36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36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36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36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36">
        <v>52.23</v>
      </c>
      <c r="E23" s="1" t="s">
        <v>142</v>
      </c>
      <c r="F23" s="1">
        <v>76.94</v>
      </c>
    </row>
    <row r="24" spans="3:8">
      <c r="C24" s="1" t="s">
        <v>143</v>
      </c>
      <c r="D24" s="36">
        <v>53.22</v>
      </c>
      <c r="G24" s="1" t="s">
        <v>144</v>
      </c>
    </row>
    <row r="25" spans="3:8">
      <c r="C25" s="1" t="s">
        <v>145</v>
      </c>
      <c r="D25" s="36">
        <v>53.96</v>
      </c>
      <c r="G25" s="1" t="s">
        <v>146</v>
      </c>
    </row>
    <row r="26" spans="3:8">
      <c r="C26" s="1" t="s">
        <v>147</v>
      </c>
      <c r="D26" s="36">
        <v>85.54</v>
      </c>
      <c r="G26" s="1" t="s">
        <v>148</v>
      </c>
    </row>
    <row r="27" spans="3:8">
      <c r="C27" s="1" t="s">
        <v>149</v>
      </c>
      <c r="D27" s="36">
        <v>62.44</v>
      </c>
      <c r="G27" s="1" t="s">
        <v>150</v>
      </c>
    </row>
    <row r="28" spans="3:8">
      <c r="C28" s="1" t="s">
        <v>151</v>
      </c>
      <c r="D28" s="36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EECA_data_15</vt:lpstr>
      <vt:lpstr>EECA_data_18</vt:lpstr>
      <vt:lpstr>Demand_proj</vt:lpstr>
      <vt:lpstr>TRA_FuelSupply</vt:lpstr>
      <vt:lpstr>TRA_Demand-Vehicles</vt:lpstr>
      <vt:lpstr>TRA_Emissions</vt:lpstr>
      <vt:lpstr>EECA_data_15!Print_Area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cp:lastPrinted>2004-11-16T14:57:57Z</cp:lastPrinted>
  <dcterms:created xsi:type="dcterms:W3CDTF">2000-12-13T15:53:11Z</dcterms:created>
  <dcterms:modified xsi:type="dcterms:W3CDTF">2022-03-14T01:24:00Z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