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AC62A1F2-F47E-4594-84E4-BFEF2812D5C9}" xr6:coauthVersionLast="47" xr6:coauthVersionMax="47" xr10:uidLastSave="{00000000-0000-0000-0000-000000000000}"/>
  <bookViews>
    <workbookView xWindow="-120" yWindow="-120" windowWidth="29040" windowHeight="17520" tabRatio="781" activeTab="1" xr2:uid="{00000000-000D-0000-FFFF-FFFF00000000}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62" l="1"/>
  <c r="D16" i="154" l="1"/>
  <c r="W15" i="162"/>
  <c r="W16" i="162"/>
  <c r="W17" i="162"/>
  <c r="W18" i="162"/>
  <c r="W19" i="162"/>
  <c r="W20" i="162"/>
  <c r="W21" i="162"/>
  <c r="W22" i="162"/>
  <c r="W23" i="162"/>
  <c r="W24" i="162"/>
  <c r="W25" i="162"/>
  <c r="W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G14" i="162"/>
  <c r="G13" i="162"/>
  <c r="H9" i="154" l="1"/>
  <c r="H10" i="154"/>
  <c r="H11" i="154"/>
  <c r="H12" i="154"/>
  <c r="H13" i="154"/>
  <c r="H14" i="154"/>
  <c r="H15" i="154"/>
  <c r="H16" i="154"/>
  <c r="H17" i="154"/>
  <c r="H18" i="154"/>
  <c r="H19" i="154"/>
  <c r="H20" i="154"/>
  <c r="H21" i="154"/>
  <c r="H8" i="154"/>
  <c r="Q54" i="162"/>
  <c r="Q50" i="162"/>
  <c r="Q38" i="162"/>
  <c r="Q37" i="162"/>
  <c r="Q36" i="162"/>
  <c r="S51" i="162"/>
  <c r="S47" i="162"/>
  <c r="S45" i="162"/>
  <c r="R39" i="162" l="1"/>
  <c r="D32" i="157" l="1"/>
  <c r="S39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1" i="162" s="1"/>
  <c r="Q51" i="162" s="1"/>
  <c r="T10" i="133"/>
  <c r="U10" i="133"/>
  <c r="V10" i="133"/>
  <c r="W10" i="133"/>
  <c r="X10" i="133"/>
  <c r="Y10" i="133"/>
  <c r="AB10" i="133" l="1"/>
  <c r="AA10" i="133"/>
  <c r="Z10" i="133"/>
  <c r="AF51" i="162" l="1"/>
  <c r="Y54" i="162" l="1"/>
  <c r="J54" i="162"/>
  <c r="Y53" i="162"/>
  <c r="J53" i="162"/>
  <c r="J51" i="162"/>
  <c r="Y50" i="162"/>
  <c r="J50" i="162"/>
  <c r="Y49" i="162"/>
  <c r="J49" i="162"/>
  <c r="Y47" i="162"/>
  <c r="X47" i="162"/>
  <c r="J47" i="162"/>
  <c r="Y45" i="162"/>
  <c r="J45" i="162"/>
  <c r="Y43" i="162"/>
  <c r="J43" i="162"/>
  <c r="Y39" i="162"/>
  <c r="J39" i="162"/>
  <c r="J38" i="162"/>
  <c r="J37" i="162"/>
  <c r="Y36" i="162"/>
  <c r="Y37" i="162" s="1"/>
  <c r="Y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I14" i="162"/>
  <c r="C13" i="162"/>
  <c r="D52" i="162" s="1"/>
  <c r="F2" i="162"/>
  <c r="X35" i="162" s="1"/>
  <c r="D2" i="162"/>
  <c r="Y29" i="162" s="1"/>
  <c r="B2" i="162"/>
  <c r="A2" i="162"/>
  <c r="C14" i="162" s="1"/>
  <c r="D53" i="162" l="1"/>
  <c r="D44" i="162"/>
  <c r="D38" i="162"/>
  <c r="D49" i="162"/>
  <c r="D36" i="162"/>
  <c r="I13" i="162"/>
  <c r="D37" i="162"/>
  <c r="D39" i="162"/>
  <c r="Q14" i="162"/>
  <c r="A36" i="162" s="1"/>
  <c r="Q15" i="162"/>
  <c r="A37" i="162" s="1"/>
  <c r="Q16" i="162"/>
  <c r="A38" i="162" s="1"/>
  <c r="Q17" i="162"/>
  <c r="A39" i="162" s="1"/>
  <c r="Q18" i="162"/>
  <c r="Q19" i="162"/>
  <c r="A45" i="162" s="1"/>
  <c r="Q20" i="162"/>
  <c r="A47" i="162" s="1"/>
  <c r="Q21" i="162"/>
  <c r="A49" i="162" s="1"/>
  <c r="Q22" i="162"/>
  <c r="A50" i="162" s="1"/>
  <c r="Q23" i="162"/>
  <c r="A51" i="162" s="1"/>
  <c r="Q25" i="162"/>
  <c r="A54" i="162" s="1"/>
  <c r="Y35" i="162"/>
  <c r="D43" i="162"/>
  <c r="D50" i="162"/>
  <c r="AA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D8" i="157" l="1"/>
  <c r="C8" i="157"/>
  <c r="D22" i="157" l="1"/>
  <c r="D23" i="157"/>
  <c r="D41" i="157"/>
  <c r="H41" i="149" l="1"/>
  <c r="AV25" i="156"/>
  <c r="AA21" i="157" s="1"/>
  <c r="AA20" i="157" l="1"/>
  <c r="P33" i="154"/>
  <c r="N20" i="157" l="1"/>
  <c r="O20" i="157"/>
  <c r="P20" i="157"/>
  <c r="N21" i="157"/>
  <c r="O21" i="157"/>
  <c r="P21" i="157"/>
  <c r="M21" i="157"/>
  <c r="M20" i="157"/>
  <c r="AV24" i="156"/>
  <c r="AU24" i="156"/>
  <c r="AU23" i="156"/>
  <c r="AA19" i="157" s="1"/>
  <c r="N19" i="157"/>
  <c r="O19" i="157"/>
  <c r="P19" i="157"/>
  <c r="M19" i="157"/>
  <c r="AU22" i="156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20" i="154"/>
  <c r="D43" i="154" s="1"/>
  <c r="J20" i="154"/>
  <c r="J21" i="154" l="1"/>
  <c r="AF41" i="143" l="1"/>
  <c r="B2" i="143" l="1"/>
  <c r="C13" i="143"/>
  <c r="C53" i="143" s="1"/>
  <c r="F35" i="143"/>
  <c r="AC20" i="154"/>
  <c r="AB20" i="154"/>
  <c r="J19" i="154"/>
  <c r="D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C32" i="154"/>
  <c r="C31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J9" i="154"/>
  <c r="J10" i="154"/>
  <c r="J11" i="154"/>
  <c r="J12" i="154"/>
  <c r="J13" i="154"/>
  <c r="J14" i="154"/>
  <c r="J15" i="154"/>
  <c r="J16" i="154"/>
  <c r="J17" i="154"/>
  <c r="J18" i="154"/>
  <c r="D18" i="154"/>
  <c r="D17" i="154"/>
  <c r="D39" i="154"/>
  <c r="C39" i="154" s="1"/>
  <c r="D15" i="154"/>
  <c r="C50" i="162" s="1"/>
  <c r="D14" i="154"/>
  <c r="D37" i="154" s="1"/>
  <c r="C37" i="154" s="1"/>
  <c r="D13" i="154"/>
  <c r="C51" i="162" s="1"/>
  <c r="D12" i="154"/>
  <c r="D35" i="154" s="1"/>
  <c r="C35" i="154" s="1"/>
  <c r="D11" i="154"/>
  <c r="D10" i="154"/>
  <c r="D9" i="154"/>
  <c r="D30" i="154" s="1"/>
  <c r="D8" i="154"/>
  <c r="F2" i="154"/>
  <c r="F28" i="154" s="1"/>
  <c r="AC9" i="154"/>
  <c r="AB9" i="154"/>
  <c r="J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42" i="154" l="1"/>
  <c r="Q29" i="162"/>
  <c r="B40" i="154"/>
  <c r="Q24" i="162"/>
  <c r="A53" i="162" s="1"/>
  <c r="B41" i="154"/>
  <c r="Q28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42" i="154"/>
  <c r="C35" i="143"/>
  <c r="E35" i="143"/>
  <c r="D31" i="154"/>
  <c r="C49" i="143"/>
  <c r="C51" i="143"/>
  <c r="C43" i="143"/>
  <c r="C44" i="143"/>
  <c r="C52" i="143"/>
  <c r="C45" i="143"/>
  <c r="B51" i="143"/>
  <c r="C50" i="143"/>
  <c r="C48" i="143"/>
  <c r="B52" i="143"/>
  <c r="E30" i="143"/>
  <c r="B30" i="154"/>
  <c r="D41" i="154"/>
  <c r="C41" i="154" s="1"/>
  <c r="B29" i="154"/>
  <c r="E31" i="143"/>
  <c r="C31" i="143"/>
  <c r="A53" i="143" s="1"/>
  <c r="E34" i="143"/>
  <c r="B37" i="154"/>
  <c r="D38" i="154"/>
  <c r="C38" i="154" s="1"/>
  <c r="B36" i="154"/>
  <c r="D33" i="154"/>
  <c r="C33" i="154" s="1"/>
  <c r="B35" i="154"/>
  <c r="D36" i="154"/>
  <c r="C36" i="154" s="1"/>
  <c r="D40" i="154"/>
  <c r="C40" i="154" s="1"/>
  <c r="B39" i="154"/>
  <c r="B33" i="154"/>
  <c r="B31" i="154"/>
  <c r="C30" i="154"/>
  <c r="B38" i="154"/>
  <c r="D29" i="154"/>
  <c r="C29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5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<sst xmlns="http://schemas.openxmlformats.org/spreadsheetml/2006/main" count="2242" uniqueCount="815">
  <si>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</si>
  <si>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</si>
  <si>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</si>
  <si>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</si>
  <si>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</si>
  <si>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</si>
  <si>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</si>
  <si>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</si>
  <si>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</si>
  <si>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</si>
  <si>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</si>
  <si>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</si>
  <si>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</si>
  <si>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</si>
  <si>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</si>
  <si>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</si>
  <si>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</si>
  <si>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</si>
  <si>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</si>
  <si>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</si>
  <si>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</si>
  <si>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</si>
  <si>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</si>
  <si>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</si>
  <si>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</si>
  <si>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</si>
  <si>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</si>
  <si>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</si>
  <si>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</si>
  <si>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</si>
  <si>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</si>
  <si>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</si>
  <si>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</si>
  <si>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</si>
  <si>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</si>
  <si>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</si>
  <si>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</si>
  <si>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</si>
  <si>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</si>
  <si>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</si>
  <si>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</si>
  <si>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</si>
  <si>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</si>
  <si>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</si>
  <si>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</si>
  <si>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</si>
  <si>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</si>
  <si>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</si>
  <si>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</si>
  <si>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</si>
  <si>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</si>
  <si>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</si>
  <si>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</si>
  <si>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</si>
  <si>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</si>
  <si>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</si>
  <si>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</si>
  <si>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</si>
  <si>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</si>
  <si>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</si>
  <si>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</si>
  <si>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</si>
  <si>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</si>
  <si>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</si>
  <si>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</si>
  <si>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</si>
  <si>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</si>
  <si>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</si>
  <si>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</si>
  <si>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</si>
  <si>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</si>
  <si>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</si>
  <si>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</si>
  <si>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</si>
  <si>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</si>
  <si>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</si>
  <si>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</si>
  <si>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</si>
  <si>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</si>
  <si>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</si>
  <si>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</si>
  <si>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</si>
  <si>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</si>
  <si>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</si>
  <si>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</si>
  <si>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</si>
  <si>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</si>
  <si>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</si>
  <si>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</si>
  <si>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</si>
  <si>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</si>
  <si>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</si>
  <si>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</si>
  <si>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</si>
  <si>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</si>
  <si>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</si>
  <si>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</si>
  <si>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</si>
  <si>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</si>
  <si>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</si>
  <si>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</si>
  <si>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</si>
  <si>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</si>
  <si>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</si>
  <si>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</si>
  <si>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</si>
  <si>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</si>
  <si>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</si>
  <si>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</si>
  <si>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</si>
  <si>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</si>
  <si>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</si>
  <si>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</si>
  <si>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</si>
  <si>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</si>
  <si>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</si>
  <si>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</si>
  <si>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</si>
  <si>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</si>
  <si>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</si>
  <si>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</si>
  <si>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</si>
  <si>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</si>
  <si>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</si>
  <si>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</si>
  <si>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</si>
  <si>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</si>
  <si>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</si>
  <si>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</si>
  <si>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</si>
  <si>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</si>
  <si>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</si>
  <si>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</si>
  <si>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</si>
  <si>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</si>
  <si>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</si>
  <si>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</si>
  <si>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</si>
  <si>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</si>
  <si>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</si>
  <si>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</si>
  <si>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</si>
  <si>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</si>
  <si>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</si>
  <si>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</si>
  <si>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</si>
  <si>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</si>
  <si>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</si>
  <si>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</si>
  <si>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</si>
  <si>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</si>
  <si>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</si>
  <si>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</si>
  <si>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</si>
  <si>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</si>
  <si>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</si>
  <si>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</si>
  <si>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</si>
  <si>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</si>
  <si>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</si>
  <si>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</si>
  <si>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</si>
  <si>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</si>
  <si>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</si>
  <si>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</si>
  <si>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</si>
  <si>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</si>
  <si>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</si>
  <si>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</si>
  <si>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</si>
  <si>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</si>
  <si>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</si>
  <si>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</si>
  <si>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</si>
  <si>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</si>
  <si>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</si>
  <si>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</si>
  <si>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</si>
  <si>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</si>
  <si>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</si>
  <si>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</si>
  <si>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</si>
  <si>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</si>
  <si>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</si>
  <si>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</si>
  <si>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</si>
  <si>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</si>
  <si>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</si>
  <si>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</si>
  <si>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</si>
  <si>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</si>
  <si>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</si>
  <si>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</si>
  <si>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</si>
  <si>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</si>
  <si>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</si>
  <si>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</si>
  <si>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</si>
  <si>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</si>
  <si>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</si>
  <si>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</si>
  <si>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</si>
  <si>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</si>
  <si>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</si>
  <si>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</si>
  <si>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</si>
  <si>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</si>
  <si>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</si>
  <si>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</si>
  <si>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</si>
  <si>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</si>
  <si>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</si>
  <si>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</si>
  <si>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</si>
  <si>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</si>
  <si>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</si>
  <si>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</si>
  <si>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</si>
  <si>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</si>
  <si>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</si>
  <si>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</si>
  <si>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</si>
  <si>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</si>
  <si>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</si>
  <si>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</si>
  <si>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</si>
  <si>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</si>
  <si>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</si>
  <si>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</si>
  <si>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</si>
  <si>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</si>
  <si>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</si>
  <si>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</si>
  <si>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</si>
  <si>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</si>
  <si>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</si>
  <si>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</si>
  <si>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</si>
  <si>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</si>
  <si>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</si>
  <si>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</si>
  <si>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</si>
  <si>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</si>
  <si>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</si>
  <si>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</si>
  <si>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</si>
  <si>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</si>
  <si>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</si>
  <si>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</si>
  <si>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</si>
  <si>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</si>
  <si>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</si>
  <si>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</si>
  <si>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</si>
  <si>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</si>
  <si>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</si>
  <si>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</si>
  <si>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</si>
  <si>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</si>
  <si>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</si>
  <si>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</si>
  <si>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</si>
  <si>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</si>
  <si>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</si>
  <si>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</si>
  <si>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</si>
  <si>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</si>
  <si>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</si>
  <si>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</si>
  <si>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</si>
  <si>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</si>
  <si>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</si>
  <si>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</si>
  <si>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</si>
  <si>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</si>
  <si>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</si>
  <si>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</si>
  <si>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</si>
  <si>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</si>
  <si>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</si>
  <si>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</si>
  <si>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</si>
  <si>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</si>
  <si>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</si>
  <si>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</si>
  <si>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</si>
  <si>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</si>
  <si>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</si>
  <si>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</si>
  <si>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</si>
  <si>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</si>
  <si>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</si>
  <si>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</si>
  <si>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</si>
  <si>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</si>
  <si>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</si>
  <si>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</si>
  <si>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</si>
  <si>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</si>
  <si>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</si>
  <si>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</si>
  <si>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</si>
  <si>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</si>
  <si>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</si>
  <si>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</si>
  <si>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</si>
  <si>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</si>
  <si>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</si>
  <si>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</si>
  <si>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</si>
  <si>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</si>
  <si>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</si>
  <si>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</si>
  <si>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</si>
  <si>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</si>
  <si>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</si>
  <si>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</si>
  <si>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</si>
  <si>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</si>
  <si>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</si>
  <si>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</si>
  <si>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</si>
  <si>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</si>
  <si>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</si>
  <si>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</si>
  <si>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</si>
  <si>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</si>
  <si>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</si>
  <si>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</si>
  <si>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</si>
  <si>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</si>
  <si>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</si>
  <si>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</si>
  <si>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</si>
  <si>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</si>
  <si>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</si>
  <si>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</si>
  <si>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</si>
  <si>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</si>
  <si>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</si>
  <si>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</si>
  <si>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</si>
  <si>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</si>
  <si>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</si>
  <si>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</si>
  <si>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</si>
  <si>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</si>
  <si>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</si>
  <si>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</si>
  <si>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</si>
  <si>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</si>
  <si>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</si>
  <si>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</si>
  <si>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</si>
  <si>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</si>
  <si>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</si>
  <si>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</si>
  <si>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</si>
  <si>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</si>
  <si>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</si>
  <si>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</si>
  <si>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</si>
  <si>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</si>
  <si>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</si>
  <si>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</si>
  <si>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</si>
  <si>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</si>
  <si>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</si>
  <si>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</si>
  <si>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</si>
  <si>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</si>
  <si>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</si>
  <si>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</si>
  <si>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</si>
  <si>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</si>
  <si>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</si>
  <si>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</si>
  <si>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</si>
  <si>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</si>
  <si>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</si>
  <si>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</si>
  <si>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</si>
  <si>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</si>
  <si>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</si>
  <si>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</si>
  <si>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</si>
  <si>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</si>
  <si>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</si>
  <si>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</si>
  <si>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</si>
  <si>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</si>
  <si>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</si>
  <si>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</si>
  <si>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</si>
  <si>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</si>
  <si>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</si>
  <si>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</si>
  <si>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</si>
  <si>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</si>
  <si>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</si>
  <si>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</si>
  <si>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</si>
  <si>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</si>
  <si>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</si>
  <si>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</si>
  <si>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</si>
  <si>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</si>
  <si>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</si>
  <si>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</si>
  <si>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</si>
  <si>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</si>
  <si>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</si>
  <si>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</si>
  <si>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</si>
  <si>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</si>
  <si>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</si>
  <si>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</si>
  <si>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</si>
  <si>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</si>
  <si>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</si>
  <si>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</si>
  <si>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</si>
  <si>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</si>
  <si>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</si>
  <si>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</si>
  <si>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</si>
  <si>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</si>
  <si>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</si>
  <si>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</si>
  <si>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</si>
  <si>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</si>
  <si>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</si>
  <si>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</si>
  <si>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</si>
  <si>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</si>
  <si>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</si>
  <si>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</si>
  <si>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</si>
  <si>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</si>
  <si>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</si>
  <si>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</si>
  <si>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</si>
  <si>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</si>
  <si>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</si>
  <si>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</si>
  <si>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</si>
  <si>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</si>
  <si>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</si>
  <si>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</si>
  <si>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</si>
  <si>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</si>
  <si>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</si>
  <si>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</si>
  <si>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</si>
  <si>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</si>
  <si>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</si>
  <si>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</si>
  <si>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</si>
  <si>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</si>
  <si>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</si>
  <si>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</si>
  <si>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</si>
  <si>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</si>
  <si>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</si>
  <si>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</si>
  <si>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</si>
  <si>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</si>
  <si>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</si>
  <si>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</si>
  <si>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</si>
  <si>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</si>
  <si>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</si>
  <si>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</si>
  <si>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</si>
  <si>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</si>
  <si>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</si>
  <si>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</si>
  <si>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</si>
  <si>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</si>
  <si>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</si>
  <si>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</si>
  <si>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</si>
  <si>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</si>
  <si>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</si>
  <si>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</si>
  <si>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</si>
  <si>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</si>
  <si>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</si>
  <si>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</si>
  <si>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</si>
  <si>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</si>
  <si>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</si>
  <si>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</si>
  <si>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</si>
  <si>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</si>
  <si>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</si>
  <si>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</si>
  <si>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</si>
  <si>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</si>
  <si>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</si>
  <si>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</si>
  <si>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</si>
  <si>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</si>
  <si>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</si>
  <si>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</si>
  <si>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</si>
  <si>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</si>
  <si>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</si>
  <si>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</si>
  <si>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</si>
  <si>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</si>
  <si>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</si>
  <si>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</si>
  <si>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</si>
  <si>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</si>
  <si>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</si>
  <si>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</si>
  <si>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</si>
  <si>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</si>
  <si>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</si>
  <si>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</si>
  <si>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</si>
  <si>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</si>
  <si>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</si>
  <si>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</si>
  <si>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</si>
  <si>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</si>
  <si>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</si>
  <si>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</si>
  <si>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</si>
  <si>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</si>
  <si>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</si>
  <si>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</si>
  <si>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</si>
  <si>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</si>
  <si>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</si>
  <si>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</si>
  <si>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</si>
  <si>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</si>
  <si>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</si>
  <si>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</si>
  <si>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</si>
  <si>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</si>
  <si>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</si>
  <si>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</si>
  <si>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</si>
  <si>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</si>
  <si>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</si>
  <si>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</si>
  <si>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</si>
  <si>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</si>
  <si>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</si>
  <si>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</si>
  <si>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</si>
  <si>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</si>
  <si>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</si>
  <si>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</si>
  <si>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</si>
  <si>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</si>
  <si>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</si>
  <si>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</si>
  <si>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</si>
  <si>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</si>
  <si>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</si>
  <si>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</si>
  <si>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</si>
  <si>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</si>
  <si>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</si>
  <si>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</si>
  <si>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</si>
  <si>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</si>
  <si>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</si>
  <si>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</si>
  <si>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</si>
  <si>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</si>
  <si>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</si>
  <si>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</si>
  <si>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</si>
  <si>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</si>
  <si>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</si>
  <si>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</si>
  <si>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</si>
  <si>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</si>
  <si>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</si>
  <si>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</si>
  <si>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</si>
  <si>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</si>
  <si>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</si>
  <si>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</si>
  <si>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</si>
  <si>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</si>
  <si>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</si>
  <si>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</si>
  <si>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</si>
  <si>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</si>
  <si>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</si>
  <si>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</si>
  <si>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</si>
  <si>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</si>
  <si>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</si>
  <si>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</si>
  <si>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</si>
  <si>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</si>
  <si>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</si>
  <si>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</si>
  <si>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</si>
  <si>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</si>
  <si>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</si>
  <si>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</si>
  <si>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</si>
  <si>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</si>
  <si>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</si>
  <si>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</si>
  <si>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</si>
  <si>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</si>
  <si>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</si>
  <si>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</si>
  <si>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</si>
  <si>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</si>
  <si>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</si>
  <si>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</si>
  <si>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</si>
  <si>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</si>
  <si>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</si>
  <si>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</si>
  <si>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</si>
  <si>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</si>
  <si>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</si>
  <si>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</si>
  <si>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</si>
  <si>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</si>
  <si>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</si>
  <si>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</si>
  <si>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</si>
  <si>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</si>
  <si>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</si>
  <si>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</si>
  <si>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</si>
  <si>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</si>
  <si>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</si>
  <si>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</si>
  <si>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</si>
  <si>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</si>
  <si>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</si>
  <si>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</si>
  <si>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</si>
  <si>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</si>
  <si>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</si>
  <si>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</si>
  <si>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</si>
  <si>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</si>
  <si>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</si>
  <si>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</si>
  <si>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</si>
  <si>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</si>
  <si>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</si>
  <si>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</si>
  <si>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</si>
  <si>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</si>
  <si>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</si>
  <si>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</si>
  <si>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</si>
  <si>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</si>
  <si>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</si>
  <si>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</si>
  <si>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</si>
  <si>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</si>
  <si>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</si>
  <si>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</si>
  <si>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</si>
  <si>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</si>
  <si>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</si>
  <si>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</si>
  <si>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</si>
  <si>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</si>
  <si>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</si>
  <si>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</si>
  <si>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</si>
  <si>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</si>
  <si>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</si>
  <si>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</si>
  <si>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</si>
  <si>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</si>
  <si>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</si>
  <si>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</si>
  <si>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</si>
  <si>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</si>
  <si>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</si>
  <si>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</si>
  <si>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</si>
  <si>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</si>
  <si>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</si>
  <si>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</si>
  <si>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</si>
  <si>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</si>
  <si>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</si>
  <si>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</si>
  <si>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</si>
  <si>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</si>
  <si>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</si>
  <si>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</si>
  <si>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</si>
  <si>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</si>
  <si>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</si>
  <si>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</si>
  <si>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</si>
  <si>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</si>
  <si>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</si>
  <si>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</si>
  <si>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</si>
  <si>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</si>
  <si>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</si>
  <si>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</si>
  <si>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</si>
  <si>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</si>
  <si>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</si>
  <si>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</si>
  <si>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</si>
  <si>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</si>
  <si>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</si>
  <si>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</si>
  <si>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</si>
  <si>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</si>
  <si>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</si>
  <si>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</si>
  <si>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</si>
  <si>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</si>
  <si>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</si>
  <si>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</si>
  <si>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</si>
  <si>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</si>
  <si>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</si>
  <si>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</si>
  <si>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</si>
  <si>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</si>
  <si>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</si>
  <si>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</si>
  <si>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</si>
  <si>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</si>
  <si>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</si>
  <si>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</si>
  <si>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</si>
  <si>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</si>
  <si>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</si>
  <si>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</si>
  <si>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</si>
  <si>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</si>
  <si>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</si>
  <si>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</si>
  <si>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</si>
  <si>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</si>
  <si>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</si>
  <si>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</si>
  <si>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</si>
  <si>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</si>
  <si>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</si>
  <si>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</si>
  <si>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</si>
  <si>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</si>
  <si>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</si>
  <si>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</si>
  <si>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</si>
  <si>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</si>
  <si>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</si>
  <si>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</si>
  <si>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</si>
  <si>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</si>
  <si>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</si>
  <si>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</si>
  <si>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</si>
  <si>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</si>
  <si>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</si>
  <si>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</si>
  <si>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</si>
  <si>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</si>
  <si>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</si>
  <si>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</si>
  <si>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</si>
  <si>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</si>
  <si>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</si>
  <si>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</si>
  <si>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</si>
  <si>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</si>
  <si>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</si>
  <si>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</si>
  <si>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</si>
  <si>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</si>
  <si>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</si>
  <si>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</si>
  <si>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</si>
  <si>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</si>
  <si>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</si>
  <si>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</si>
  <si>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</si>
  <si>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</si>
  <si>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</si>
  <si>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</si>
  <si>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Fuel/Enduse</t>
  </si>
  <si>
    <t>* OLD CommDesc</t>
  </si>
  <si>
    <t>Electricity Production</t>
  </si>
  <si>
    <t>CO2 emissions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</si>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</sst>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9">
    <xf numFmtId="0" fontId="0" fillId="0" borderId="0"/>
    <xf numFmtId="0" fontId="41" fillId="31" borderId="0" applyNumberFormat="0" applyBorder="0" applyAlignment="0" applyProtection="0"/>
    <xf numFmtId="0" fontId="41" fillId="35" borderId="0" applyNumberFormat="0" applyBorder="0" applyAlignment="0" applyProtection="0"/>
    <xf numFmtId="0" fontId="42" fillId="46" borderId="0" applyNumberFormat="0" applyBorder="0" applyAlignment="0" applyProtection="0"/>
    <xf numFmtId="43" fontId="41" fillId="0" borderId="0" applyFont="0" applyFill="0" applyBorder="0" applyAlignment="0" applyProtection="0"/>
    <xf numFmtId="0" fontId="47" fillId="54" borderId="0" applyNumberFormat="0" applyBorder="0" applyAlignment="0" applyProtection="0"/>
    <xf numFmtId="0" fontId="53" fillId="56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5" fillId="0" borderId="0"/>
    <xf numFmtId="0" fontId="22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0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2" fillId="0" borderId="0"/>
    <xf numFmtId="0" fontId="23" fillId="0" borderId="0"/>
    <xf numFmtId="0" fontId="86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3" fillId="0" borderId="0"/>
    <xf numFmtId="168" fontId="23" fillId="0" borderId="0"/>
    <xf numFmtId="168" fontId="23" fillId="0" borderId="0"/>
    <xf numFmtId="0" fontId="15" fillId="0" borderId="0"/>
    <xf numFmtId="168" fontId="23" fillId="0" borderId="0"/>
    <xf numFmtId="0" fontId="15" fillId="0" borderId="0"/>
    <xf numFmtId="0" fontId="15" fillId="0" borderId="0"/>
    <xf numFmtId="0" fontId="15" fillId="0" borderId="0"/>
    <xf numFmtId="0" fontId="87" fillId="0" borderId="0"/>
    <xf numFmtId="171" fontId="23" fillId="0" borderId="0"/>
    <xf numFmtId="0" fontId="15" fillId="0" borderId="0"/>
    <xf numFmtId="0" fontId="15" fillId="0" borderId="0"/>
    <xf numFmtId="168" fontId="23" fillId="0" borderId="0"/>
    <xf numFmtId="0" fontId="40" fillId="0" borderId="0"/>
    <xf numFmtId="171" fontId="40" fillId="0" borderId="0"/>
    <xf numFmtId="168" fontId="23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6" fillId="0" borderId="0"/>
    <xf numFmtId="0" fontId="66" fillId="0" borderId="0"/>
    <xf numFmtId="0" fontId="4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41" fillId="0" borderId="0"/>
    <xf numFmtId="172" fontId="91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172" fontId="23" fillId="7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6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172" fontId="23" fillId="7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7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172" fontId="23" fillId="7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80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172" fontId="23" fillId="8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172" fontId="23" fillId="7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7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172" fontId="23" fillId="83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8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172" fontId="23" fillId="84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172" fontId="23" fillId="86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87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172" fontId="23" fillId="8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87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172" fontId="23" fillId="8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9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172" fontId="23" fillId="84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9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172" fontId="23" fillId="9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83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172" fontId="24" fillId="9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9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86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172" fontId="24" fillId="94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172" fontId="24" fillId="88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94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8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172" fontId="24" fillId="90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172" fontId="24" fillId="96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8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9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172" fontId="24" fillId="98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9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99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172" fontId="24" fillId="10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01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172" fontId="24" fillId="100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172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2" fontId="92" fillId="0" borderId="0"/>
    <xf numFmtId="172" fontId="65" fillId="0" borderId="0" applyNumberFormat="0" applyFill="0" applyBorder="0" applyAlignment="0" applyProtection="0"/>
    <xf numFmtId="172" fontId="68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93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2" borderId="2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105" borderId="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2" fontId="26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20" borderId="1" applyNumberFormat="0" applyAlignment="0" applyProtection="0"/>
    <xf numFmtId="0" fontId="26" fillId="20" borderId="1" applyNumberFormat="0" applyAlignment="0" applyProtection="0"/>
    <xf numFmtId="172" fontId="26" fillId="20" borderId="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89" fillId="0" borderId="0"/>
    <xf numFmtId="172" fontId="68" fillId="0" borderId="0"/>
    <xf numFmtId="172" fontId="68" fillId="0" borderId="0"/>
    <xf numFmtId="172" fontId="68" fillId="0" borderId="0"/>
    <xf numFmtId="172" fontId="68" fillId="0" borderId="0"/>
    <xf numFmtId="172" fontId="98" fillId="0" borderId="0"/>
    <xf numFmtId="165" fontId="40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8" fillId="0" borderId="0" applyFont="0" applyFill="0" applyBorder="0" applyAlignment="0" applyProtection="0"/>
    <xf numFmtId="179" fontId="99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100" fillId="0" borderId="0"/>
    <xf numFmtId="172" fontId="101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79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172" fontId="29" fillId="107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8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172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9" applyNumberFormat="0" applyFill="0" applyAlignment="0" applyProtection="0"/>
    <xf numFmtId="172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172" fontId="102" fillId="0" borderId="3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0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" applyNumberFormat="0" applyFill="0" applyAlignment="0" applyProtection="0"/>
    <xf numFmtId="172" fontId="103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1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2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3" applyNumberFormat="0" applyFill="0" applyAlignment="0" applyProtection="0"/>
    <xf numFmtId="172" fontId="104" fillId="0" borderId="43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2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0" fillId="108" borderId="0"/>
    <xf numFmtId="175" fontId="70" fillId="108" borderId="0"/>
    <xf numFmtId="176" fontId="70" fillId="108" borderId="0"/>
    <xf numFmtId="172" fontId="15" fillId="108" borderId="0">
      <protection locked="0"/>
    </xf>
    <xf numFmtId="179" fontId="15" fillId="108" borderId="0">
      <protection locked="0"/>
    </xf>
    <xf numFmtId="177" fontId="15" fillId="108" borderId="0">
      <protection locked="0"/>
    </xf>
    <xf numFmtId="178" fontId="15" fillId="108" borderId="0">
      <protection locked="0"/>
    </xf>
    <xf numFmtId="17" fontId="15" fillId="108" borderId="0">
      <protection locked="0"/>
    </xf>
    <xf numFmtId="20" fontId="15" fillId="108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7" borderId="1" applyNumberFormat="0" applyAlignment="0" applyProtection="0"/>
    <xf numFmtId="0" fontId="33" fillId="7" borderId="1" applyNumberFormat="0" applyAlignment="0" applyProtection="0"/>
    <xf numFmtId="172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2" fontId="15" fillId="108" borderId="0">
      <protection locked="0"/>
    </xf>
    <xf numFmtId="172" fontId="15" fillId="108" borderId="0">
      <protection locked="0"/>
    </xf>
    <xf numFmtId="172" fontId="14" fillId="108" borderId="0">
      <protection locked="0"/>
    </xf>
    <xf numFmtId="172" fontId="15" fillId="108" borderId="0">
      <alignment horizontal="center"/>
      <protection locked="0"/>
    </xf>
    <xf numFmtId="172" fontId="15" fillId="108" borderId="0">
      <protection locked="0"/>
    </xf>
    <xf numFmtId="172" fontId="15" fillId="108" borderId="0"/>
    <xf numFmtId="172" fontId="15" fillId="108" borderId="0">
      <alignment wrapText="1"/>
      <protection locked="0"/>
    </xf>
    <xf numFmtId="172" fontId="89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98" fillId="108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5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4" fontId="68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0" fontId="41" fillId="0" borderId="0"/>
    <xf numFmtId="172" fontId="15" fillId="0" borderId="0"/>
    <xf numFmtId="172" fontId="15" fillId="0" borderId="0"/>
    <xf numFmtId="0" fontId="40" fillId="0" borderId="0"/>
    <xf numFmtId="0" fontId="15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0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2" fontId="41" fillId="0" borderId="0"/>
    <xf numFmtId="0" fontId="82" fillId="0" borderId="0"/>
    <xf numFmtId="0" fontId="15" fillId="0" borderId="0"/>
    <xf numFmtId="0" fontId="15" fillId="0" borderId="0"/>
    <xf numFmtId="0" fontId="15" fillId="0" borderId="0"/>
    <xf numFmtId="172" fontId="66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15" fillId="0" borderId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90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172" fontId="99" fillId="110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180" fontId="88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172" fontId="36" fillId="76" borderId="8" applyNumberFormat="0" applyAlignment="0" applyProtection="0"/>
    <xf numFmtId="172" fontId="36" fillId="76" borderId="8" applyNumberFormat="0" applyAlignment="0" applyProtection="0"/>
    <xf numFmtId="172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20" borderId="8" applyNumberFormat="0" applyAlignment="0" applyProtection="0"/>
    <xf numFmtId="0" fontId="36" fillId="20" borderId="8" applyNumberFormat="0" applyAlignment="0" applyProtection="0"/>
    <xf numFmtId="172" fontId="36" fillId="20" borderId="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76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5" fillId="0" borderId="0" applyFont="0" applyFill="0" applyBorder="0" applyAlignment="0" applyProtection="0"/>
    <xf numFmtId="9" fontId="99" fillId="0" borderId="0" applyFill="0" applyBorder="0" applyAlignment="0" applyProtection="0"/>
    <xf numFmtId="9" fontId="1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99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99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99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2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19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99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2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99" fillId="112" borderId="0" applyNumberForma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66" fillId="111" borderId="0" applyNumberFormat="0" applyFont="0" applyBorder="0" applyAlignment="0" applyProtection="0"/>
    <xf numFmtId="174" fontId="15" fillId="0" borderId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10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3" fontId="110" fillId="81" borderId="37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7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4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2" fillId="0" borderId="0">
      <alignment horizontal="center"/>
    </xf>
    <xf numFmtId="172" fontId="113" fillId="82" borderId="0"/>
    <xf numFmtId="172" fontId="114" fillId="115" borderId="0"/>
    <xf numFmtId="172" fontId="113" fillId="82" borderId="0"/>
    <xf numFmtId="172" fontId="113" fillId="63" borderId="0"/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15" fillId="23" borderId="7" applyNumberFormat="0" applyFont="0" applyAlignment="0" applyProtection="0"/>
    <xf numFmtId="0" fontId="25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82" fillId="0" borderId="0"/>
    <xf numFmtId="0" fontId="1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3" fillId="23" borderId="7" applyNumberFormat="0" applyFont="0" applyAlignment="0" applyProtection="0"/>
    <xf numFmtId="0" fontId="123" fillId="0" borderId="59">
      <alignment horizontal="left" vertical="center" wrapText="1" indent="2"/>
    </xf>
    <xf numFmtId="0" fontId="33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4" fillId="55" borderId="21" applyNumberFormat="0" applyAlignment="0" applyProtection="0"/>
    <xf numFmtId="0" fontId="25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5" fillId="22" borderId="0" applyNumberFormat="0" applyBorder="0" applyAlignment="0" applyProtection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5" fillId="0" borderId="0" applyNumberFormat="0" applyFill="0" applyBorder="0" applyProtection="0">
      <alignment horizontal="left" vertical="center"/>
    </xf>
    <xf numFmtId="4" fontId="15" fillId="119" borderId="0" applyNumberFormat="0" applyFont="0" applyBorder="0" applyAlignment="0" applyProtection="0"/>
    <xf numFmtId="4" fontId="15" fillId="119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0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7" fillId="21" borderId="2" applyNumberFormat="0" applyAlignment="0" applyProtection="0"/>
    <xf numFmtId="4" fontId="123" fillId="0" borderId="0"/>
    <xf numFmtId="43" fontId="15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2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17" fontId="15" fillId="108" borderId="0">
      <protection locked="0"/>
    </xf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0" fillId="0" borderId="35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15" fillId="63" borderId="0"/>
    <xf numFmtId="0" fontId="135" fillId="0" borderId="0" applyNumberFormat="0" applyFill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43" fillId="51" borderId="0" applyNumberFormat="0" applyBorder="0" applyAlignment="0" applyProtection="0"/>
    <xf numFmtId="0" fontId="51" fillId="55" borderId="21" applyNumberFormat="0" applyAlignment="0" applyProtection="0"/>
    <xf numFmtId="0" fontId="54" fillId="52" borderId="28" applyNumberFormat="0" applyAlignment="0" applyProtection="0"/>
    <xf numFmtId="0" fontId="44" fillId="52" borderId="21" applyNumberFormat="0" applyAlignment="0" applyProtection="0"/>
    <xf numFmtId="0" fontId="52" fillId="0" borderId="26" applyNumberFormat="0" applyFill="0" applyAlignment="0" applyProtection="0"/>
    <xf numFmtId="0" fontId="45" fillId="53" borderId="22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42" fillId="45" borderId="0" applyNumberFormat="0" applyBorder="0" applyAlignment="0" applyProtection="0"/>
    <xf numFmtId="0" fontId="4" fillId="27" borderId="0" applyNumberFormat="0" applyBorder="0" applyAlignment="0" applyProtection="0"/>
    <xf numFmtId="0" fontId="4" fillId="33" borderId="0" applyNumberFormat="0" applyBorder="0" applyAlignment="0" applyProtection="0"/>
    <xf numFmtId="0" fontId="42" fillId="39" borderId="0" applyNumberFormat="0" applyBorder="0" applyAlignment="0" applyProtection="0"/>
    <xf numFmtId="0" fontId="4" fillId="28" borderId="0" applyNumberFormat="0" applyBorder="0" applyAlignment="0" applyProtection="0"/>
    <xf numFmtId="0" fontId="4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4" fillId="29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2" fillId="42" borderId="0" applyNumberFormat="0" applyBorder="0" applyAlignment="0" applyProtection="0"/>
    <xf numFmtId="0" fontId="42" fillId="49" borderId="0" applyNumberFormat="0" applyBorder="0" applyAlignment="0" applyProtection="0"/>
    <xf numFmtId="0" fontId="4" fillId="37" borderId="0" applyNumberFormat="0" applyBorder="0" applyAlignment="0" applyProtection="0"/>
    <xf numFmtId="0" fontId="42" fillId="43" borderId="0" applyNumberFormat="0" applyBorder="0" applyAlignment="0" applyProtection="0"/>
    <xf numFmtId="0" fontId="42" fillId="50" borderId="0" applyNumberFormat="0" applyBorder="0" applyAlignment="0" applyProtection="0"/>
    <xf numFmtId="0" fontId="4" fillId="32" borderId="0" applyNumberFormat="0" applyBorder="0" applyAlignment="0" applyProtection="0"/>
    <xf numFmtId="0" fontId="4" fillId="38" borderId="0" applyNumberFormat="0" applyBorder="0" applyAlignment="0" applyProtection="0"/>
    <xf numFmtId="0" fontId="42" fillId="44" borderId="0" applyNumberFormat="0" applyBorder="0" applyAlignment="0" applyProtection="0"/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0" fontId="4" fillId="57" borderId="27" applyNumberFormat="0" applyFont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9" fontId="134" fillId="0" borderId="0" applyFont="0" applyFill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31" borderId="0" applyNumberFormat="0" applyBorder="0" applyAlignment="0" applyProtection="0"/>
    <xf numFmtId="0" fontId="15" fillId="0" borderId="0"/>
    <xf numFmtId="0" fontId="2" fillId="31" borderId="0" applyNumberFormat="0" applyBorder="0" applyAlignment="0" applyProtection="0"/>
    <xf numFmtId="0" fontId="15" fillId="0" borderId="0"/>
  </cellStyleXfs>
  <cellXfs count="425">
    <xf numFmtId="0" fontId="0" fillId="0" borderId="0" xfId="0"/>
    <xf numFmtId="0" fontId="15" fillId="0" borderId="0" xfId="0" applyFont="1"/>
    <xf numFmtId="0" fontId="58" fillId="58" borderId="0" xfId="5" applyFont="1" applyFill="1"/>
    <xf numFmtId="0" fontId="59" fillId="31" borderId="10" xfId="1" applyFont="1" applyBorder="1" applyAlignment="1">
      <alignment horizontal="left" wrapText="1"/>
    </xf>
    <xf numFmtId="0" fontId="60" fillId="0" borderId="0" xfId="0" applyFont="1"/>
    <xf numFmtId="0" fontId="15" fillId="0" borderId="0" xfId="7"/>
    <xf numFmtId="0" fontId="16" fillId="0" borderId="0" xfId="0" applyFont="1" applyAlignment="1">
      <alignment horizontal="left"/>
    </xf>
    <xf numFmtId="0" fontId="20" fillId="0" borderId="0" xfId="0" applyFont="1"/>
    <xf numFmtId="0" fontId="20" fillId="25" borderId="0" xfId="0" quotePrefix="1" applyFont="1" applyFill="1"/>
    <xf numFmtId="0" fontId="20" fillId="0" borderId="0" xfId="0" quotePrefix="1" applyFont="1"/>
    <xf numFmtId="0" fontId="14" fillId="24" borderId="10" xfId="9" applyFont="1" applyFill="1" applyBorder="1" applyAlignment="1">
      <alignment horizontal="left" vertical="center"/>
    </xf>
    <xf numFmtId="0" fontId="58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5" fillId="74" borderId="30" xfId="32" quotePrefix="1" applyNumberFormat="1" applyFill="1" applyBorder="1" applyAlignment="1">
      <alignment horizontal="center" vertical="center"/>
    </xf>
    <xf numFmtId="170" fontId="63" fillId="72" borderId="30" xfId="32" applyNumberFormat="1" applyFont="1" applyFill="1" applyBorder="1" applyAlignment="1">
      <alignment horizontal="center" vertical="center"/>
    </xf>
    <xf numFmtId="0" fontId="15" fillId="73" borderId="30" xfId="0" applyFont="1" applyFill="1" applyBorder="1" applyAlignment="1">
      <alignment horizontal="center"/>
    </xf>
    <xf numFmtId="0" fontId="63" fillId="68" borderId="30" xfId="32" applyFont="1" applyFill="1" applyBorder="1" applyAlignment="1">
      <alignment horizontal="center" vertical="center"/>
    </xf>
    <xf numFmtId="0" fontId="63" fillId="70" borderId="30" xfId="32" applyFont="1" applyFill="1" applyBorder="1" applyAlignment="1">
      <alignment horizontal="center" vertical="center" wrapText="1"/>
    </xf>
    <xf numFmtId="0" fontId="63" fillId="71" borderId="30" xfId="32" applyFont="1" applyFill="1" applyBorder="1" applyAlignment="1">
      <alignment horizontal="center" vertical="center" wrapText="1"/>
    </xf>
    <xf numFmtId="0" fontId="15" fillId="74" borderId="30" xfId="0" applyFont="1" applyFill="1" applyBorder="1" applyAlignment="1">
      <alignment horizontal="center"/>
    </xf>
    <xf numFmtId="0" fontId="63" fillId="63" borderId="30" xfId="32" quotePrefix="1" applyFont="1" applyFill="1" applyBorder="1" applyAlignment="1" applyProtection="1">
      <alignment horizontal="center" vertical="center"/>
      <protection locked="0"/>
    </xf>
    <xf numFmtId="0" fontId="63" fillId="63" borderId="30" xfId="32" quotePrefix="1" applyFont="1" applyFill="1" applyBorder="1" applyAlignment="1" applyProtection="1">
      <alignment horizontal="center" vertical="center" wrapText="1"/>
      <protection locked="0"/>
    </xf>
    <xf numFmtId="0" fontId="63" fillId="62" borderId="30" xfId="32" quotePrefix="1" applyFont="1" applyFill="1" applyBorder="1" applyAlignment="1" applyProtection="1">
      <alignment horizontal="center" vertical="center" wrapText="1"/>
      <protection locked="0"/>
    </xf>
    <xf numFmtId="0" fontId="63" fillId="63" borderId="30" xfId="32" quotePrefix="1" applyFont="1" applyFill="1" applyBorder="1" applyAlignment="1">
      <alignment horizontal="center" vertical="center" wrapText="1"/>
    </xf>
    <xf numFmtId="0" fontId="63" fillId="63" borderId="30" xfId="32" applyFont="1" applyFill="1" applyBorder="1" applyAlignment="1">
      <alignment horizontal="center" vertical="center" wrapText="1"/>
    </xf>
    <xf numFmtId="0" fontId="63" fillId="59" borderId="30" xfId="32" quotePrefix="1" applyFont="1" applyFill="1" applyBorder="1" applyAlignment="1">
      <alignment horizontal="center" vertical="center" wrapText="1"/>
    </xf>
    <xf numFmtId="0" fontId="63" fillId="68" borderId="30" xfId="32" quotePrefix="1" applyFont="1" applyFill="1" applyBorder="1" applyAlignment="1">
      <alignment horizontal="center" vertical="center" wrapText="1"/>
    </xf>
    <xf numFmtId="0" fontId="63" fillId="70" borderId="30" xfId="32" quotePrefix="1" applyFont="1" applyFill="1" applyBorder="1" applyAlignment="1">
      <alignment horizontal="center" vertical="center" wrapText="1"/>
    </xf>
    <xf numFmtId="0" fontId="63" fillId="71" borderId="30" xfId="32" quotePrefix="1" applyFont="1" applyFill="1" applyBorder="1" applyAlignment="1">
      <alignment horizontal="center" vertical="center" wrapText="1"/>
    </xf>
    <xf numFmtId="170" fontId="15" fillId="74" borderId="30" xfId="32" applyNumberFormat="1" applyFill="1" applyBorder="1" applyAlignment="1">
      <alignment horizontal="center" vertical="center"/>
    </xf>
    <xf numFmtId="170" fontId="63" fillId="74" borderId="30" xfId="32" applyNumberFormat="1" applyFont="1" applyFill="1" applyBorder="1" applyAlignment="1" applyProtection="1">
      <alignment horizontal="center" vertical="center"/>
      <protection locked="0"/>
    </xf>
    <xf numFmtId="170" fontId="63" fillId="74" borderId="30" xfId="32" applyNumberFormat="1" applyFont="1" applyFill="1" applyBorder="1" applyAlignment="1">
      <alignment horizontal="center" vertical="center"/>
    </xf>
    <xf numFmtId="170" fontId="63" fillId="74" borderId="30" xfId="0" applyNumberFormat="1" applyFont="1" applyFill="1" applyBorder="1" applyAlignment="1">
      <alignment horizontal="center"/>
    </xf>
    <xf numFmtId="0" fontId="42" fillId="46" borderId="0" xfId="3"/>
    <xf numFmtId="0" fontId="42" fillId="0" borderId="0" xfId="3" applyFill="1"/>
    <xf numFmtId="0" fontId="69" fillId="58" borderId="0" xfId="5" applyFont="1" applyFill="1"/>
    <xf numFmtId="0" fontId="69" fillId="58" borderId="0" xfId="5" applyFont="1" applyFill="1" applyAlignment="1">
      <alignment wrapText="1"/>
    </xf>
    <xf numFmtId="0" fontId="69" fillId="0" borderId="0" xfId="5" applyFont="1" applyFill="1"/>
    <xf numFmtId="0" fontId="58" fillId="0" borderId="0" xfId="5" applyFont="1" applyFill="1"/>
    <xf numFmtId="0" fontId="59" fillId="31" borderId="10" xfId="1" applyFont="1" applyBorder="1" applyAlignment="1">
      <alignment horizontal="center" wrapText="1"/>
    </xf>
    <xf numFmtId="0" fontId="0" fillId="0" borderId="30" xfId="0" applyBorder="1"/>
    <xf numFmtId="0" fontId="14" fillId="24" borderId="10" xfId="9" applyFont="1" applyFill="1" applyBorder="1" applyAlignment="1">
      <alignment horizontal="center" vertical="center"/>
    </xf>
    <xf numFmtId="2" fontId="0" fillId="61" borderId="0" xfId="0" applyNumberFormat="1" applyFill="1" applyAlignment="1">
      <alignment horizontal="center"/>
    </xf>
    <xf numFmtId="0" fontId="58" fillId="58" borderId="0" xfId="5" applyFont="1" applyFill="1" applyAlignment="1">
      <alignment horizontal="center"/>
    </xf>
    <xf numFmtId="0" fontId="58" fillId="58" borderId="0" xfId="5" applyFont="1" applyFill="1" applyAlignment="1">
      <alignment horizontal="center" wrapText="1"/>
    </xf>
    <xf numFmtId="0" fontId="62" fillId="0" borderId="0" xfId="3" applyFont="1" applyFill="1" applyAlignment="1">
      <alignment horizontal="center" wrapText="1"/>
    </xf>
    <xf numFmtId="0" fontId="58" fillId="0" borderId="0" xfId="5" applyFont="1" applyFill="1" applyAlignment="1">
      <alignment horizontal="center"/>
    </xf>
    <xf numFmtId="0" fontId="61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1" fillId="67" borderId="30" xfId="11" applyFont="1" applyFill="1" applyBorder="1" applyAlignment="1">
      <alignment horizontal="center"/>
    </xf>
    <xf numFmtId="0" fontId="72" fillId="0" borderId="30" xfId="11" applyFont="1" applyBorder="1" applyAlignment="1">
      <alignment horizontal="center"/>
    </xf>
    <xf numFmtId="0" fontId="72" fillId="0" borderId="30" xfId="11" applyFont="1" applyBorder="1"/>
    <xf numFmtId="0" fontId="19" fillId="0" borderId="30" xfId="0" applyFont="1" applyBorder="1"/>
    <xf numFmtId="0" fontId="73" fillId="60" borderId="30" xfId="11" applyFont="1" applyFill="1" applyBorder="1" applyAlignment="1">
      <alignment horizontal="center"/>
    </xf>
    <xf numFmtId="0" fontId="42" fillId="46" borderId="0" xfId="3" applyAlignment="1">
      <alignment horizontal="center" wrapText="1"/>
    </xf>
    <xf numFmtId="0" fontId="42" fillId="46" borderId="0" xfId="3" applyAlignment="1">
      <alignment horizontal="center"/>
    </xf>
    <xf numFmtId="0" fontId="76" fillId="0" borderId="0" xfId="7" applyFont="1" applyAlignment="1">
      <alignment horizontal="center"/>
    </xf>
    <xf numFmtId="0" fontId="76" fillId="0" borderId="0" xfId="0" applyFont="1" applyAlignment="1">
      <alignment horizontal="center"/>
    </xf>
    <xf numFmtId="0" fontId="76" fillId="0" borderId="0" xfId="0" applyFont="1"/>
    <xf numFmtId="0" fontId="76" fillId="0" borderId="0" xfId="7" applyFont="1"/>
    <xf numFmtId="0" fontId="77" fillId="0" borderId="0" xfId="2" applyFont="1" applyFill="1" applyBorder="1" applyAlignment="1">
      <alignment horizontal="center" wrapText="1"/>
    </xf>
    <xf numFmtId="169" fontId="78" fillId="0" borderId="0" xfId="0" applyNumberFormat="1" applyFont="1" applyAlignment="1">
      <alignment horizontal="center"/>
    </xf>
    <xf numFmtId="169" fontId="76" fillId="0" borderId="0" xfId="0" applyNumberFormat="1" applyFont="1" applyAlignment="1">
      <alignment horizontal="center"/>
    </xf>
    <xf numFmtId="0" fontId="79" fillId="0" borderId="0" xfId="2" applyFont="1" applyFill="1" applyBorder="1" applyAlignment="1">
      <alignment horizontal="center" wrapText="1"/>
    </xf>
    <xf numFmtId="169" fontId="80" fillId="24" borderId="11" xfId="0" applyNumberFormat="1" applyFont="1" applyFill="1" applyBorder="1" applyAlignment="1">
      <alignment horizontal="center"/>
    </xf>
    <xf numFmtId="169" fontId="80" fillId="24" borderId="12" xfId="0" applyNumberFormat="1" applyFont="1" applyFill="1" applyBorder="1" applyAlignment="1">
      <alignment horizontal="center"/>
    </xf>
    <xf numFmtId="169" fontId="79" fillId="31" borderId="11" xfId="1" applyNumberFormat="1" applyFont="1" applyBorder="1" applyAlignment="1">
      <alignment horizontal="center" wrapText="1"/>
    </xf>
    <xf numFmtId="1" fontId="79" fillId="0" borderId="0" xfId="2" applyNumberFormat="1" applyFont="1" applyFill="1" applyBorder="1" applyAlignment="1">
      <alignment horizontal="center" wrapText="1"/>
    </xf>
    <xf numFmtId="169" fontId="76" fillId="0" borderId="30" xfId="0" applyNumberFormat="1" applyFont="1" applyBorder="1" applyAlignment="1">
      <alignment horizontal="center"/>
    </xf>
    <xf numFmtId="1" fontId="81" fillId="0" borderId="0" xfId="2" applyNumberFormat="1" applyFont="1" applyFill="1" applyBorder="1" applyAlignment="1">
      <alignment horizontal="center" wrapText="1"/>
    </xf>
    <xf numFmtId="169" fontId="79" fillId="31" borderId="10" xfId="1" applyNumberFormat="1" applyFont="1" applyBorder="1" applyAlignment="1">
      <alignment horizontal="center" wrapText="1"/>
    </xf>
    <xf numFmtId="1" fontId="76" fillId="0" borderId="0" xfId="7" applyNumberFormat="1" applyFont="1" applyAlignment="1">
      <alignment horizontal="center"/>
    </xf>
    <xf numFmtId="169" fontId="76" fillId="0" borderId="30" xfId="0" applyNumberFormat="1" applyFont="1" applyBorder="1" applyAlignment="1">
      <alignment horizontal="center" wrapText="1"/>
    </xf>
    <xf numFmtId="0" fontId="76" fillId="0" borderId="30" xfId="0" applyFont="1" applyBorder="1" applyAlignment="1">
      <alignment horizontal="center"/>
    </xf>
    <xf numFmtId="0" fontId="78" fillId="0" borderId="0" xfId="9" applyFont="1" applyAlignment="1">
      <alignment horizontal="center"/>
    </xf>
    <xf numFmtId="0" fontId="76" fillId="0" borderId="0" xfId="9" applyFont="1" applyAlignment="1">
      <alignment horizontal="center"/>
    </xf>
    <xf numFmtId="0" fontId="80" fillId="24" borderId="11" xfId="9" applyFont="1" applyFill="1" applyBorder="1" applyAlignment="1">
      <alignment horizontal="center" vertical="center" wrapText="1"/>
    </xf>
    <xf numFmtId="0" fontId="77" fillId="35" borderId="12" xfId="2" applyFont="1" applyBorder="1" applyAlignment="1">
      <alignment horizontal="center" wrapText="1"/>
    </xf>
    <xf numFmtId="0" fontId="79" fillId="31" borderId="11" xfId="1" applyFont="1" applyBorder="1" applyAlignment="1">
      <alignment horizontal="center" wrapText="1"/>
    </xf>
    <xf numFmtId="0" fontId="79" fillId="31" borderId="12" xfId="1" applyFont="1" applyBorder="1" applyAlignment="1">
      <alignment horizontal="center" wrapText="1"/>
    </xf>
    <xf numFmtId="0" fontId="79" fillId="35" borderId="12" xfId="2" applyFont="1" applyBorder="1" applyAlignment="1">
      <alignment horizontal="center" wrapText="1"/>
    </xf>
    <xf numFmtId="0" fontId="79" fillId="31" borderId="0" xfId="1" applyFont="1" applyBorder="1" applyAlignment="1">
      <alignment horizontal="center" wrapText="1"/>
    </xf>
    <xf numFmtId="0" fontId="79" fillId="59" borderId="11" xfId="2" applyFont="1" applyFill="1" applyBorder="1" applyAlignment="1">
      <alignment horizontal="center" wrapText="1"/>
    </xf>
    <xf numFmtId="0" fontId="76" fillId="0" borderId="30" xfId="7" applyFont="1" applyBorder="1" applyAlignment="1">
      <alignment horizontal="center"/>
    </xf>
    <xf numFmtId="0" fontId="76" fillId="65" borderId="30" xfId="7" applyFont="1" applyFill="1" applyBorder="1" applyAlignment="1">
      <alignment horizontal="center"/>
    </xf>
    <xf numFmtId="167" fontId="76" fillId="65" borderId="30" xfId="0" applyNumberFormat="1" applyFont="1" applyFill="1" applyBorder="1" applyAlignment="1">
      <alignment horizontal="center"/>
    </xf>
    <xf numFmtId="2" fontId="76" fillId="65" borderId="30" xfId="7" applyNumberFormat="1" applyFont="1" applyFill="1" applyBorder="1" applyAlignment="1">
      <alignment horizontal="center"/>
    </xf>
    <xf numFmtId="0" fontId="76" fillId="0" borderId="34" xfId="7" applyFont="1" applyBorder="1" applyAlignment="1">
      <alignment horizontal="center"/>
    </xf>
    <xf numFmtId="2" fontId="76" fillId="65" borderId="30" xfId="0" applyNumberFormat="1" applyFont="1" applyFill="1" applyBorder="1" applyAlignment="1">
      <alignment horizontal="center"/>
    </xf>
    <xf numFmtId="0" fontId="76" fillId="65" borderId="30" xfId="0" applyFont="1" applyFill="1" applyBorder="1" applyAlignment="1">
      <alignment horizontal="center"/>
    </xf>
    <xf numFmtId="0" fontId="76" fillId="0" borderId="0" xfId="7" applyFont="1" applyAlignment="1">
      <alignment horizontal="left"/>
    </xf>
    <xf numFmtId="0" fontId="80" fillId="60" borderId="30" xfId="7" applyFont="1" applyFill="1" applyBorder="1" applyAlignment="1">
      <alignment horizontal="center"/>
    </xf>
    <xf numFmtId="166" fontId="76" fillId="65" borderId="30" xfId="7" applyNumberFormat="1" applyFont="1" applyFill="1" applyBorder="1" applyAlignment="1">
      <alignment horizontal="center"/>
    </xf>
    <xf numFmtId="167" fontId="76" fillId="65" borderId="30" xfId="7" applyNumberFormat="1" applyFont="1" applyFill="1" applyBorder="1" applyAlignment="1">
      <alignment horizontal="center"/>
    </xf>
    <xf numFmtId="2" fontId="81" fillId="59" borderId="30" xfId="2" applyNumberFormat="1" applyFont="1" applyFill="1" applyBorder="1" applyAlignment="1">
      <alignment horizontal="center" wrapText="1"/>
    </xf>
    <xf numFmtId="0" fontId="82" fillId="0" borderId="0" xfId="36"/>
    <xf numFmtId="0" fontId="41" fillId="0" borderId="0" xfId="36" applyFont="1"/>
    <xf numFmtId="0" fontId="56" fillId="0" borderId="0" xfId="36" applyFont="1"/>
    <xf numFmtId="0" fontId="41" fillId="0" borderId="0" xfId="36" applyFont="1" applyAlignment="1">
      <alignment horizontal="left" indent="1"/>
    </xf>
    <xf numFmtId="0" fontId="83" fillId="0" borderId="0" xfId="36" applyFont="1" applyAlignment="1">
      <alignment horizontal="left" indent="2"/>
    </xf>
    <xf numFmtId="0" fontId="56" fillId="0" borderId="0" xfId="36" applyFont="1" applyAlignment="1">
      <alignment horizontal="left"/>
    </xf>
    <xf numFmtId="41" fontId="41" fillId="0" borderId="0" xfId="36" applyNumberFormat="1" applyFont="1"/>
    <xf numFmtId="43" fontId="41" fillId="0" borderId="0" xfId="36" applyNumberFormat="1" applyFont="1"/>
    <xf numFmtId="0" fontId="41" fillId="0" borderId="0" xfId="36" applyFont="1" applyAlignment="1">
      <alignment horizontal="left"/>
    </xf>
    <xf numFmtId="0" fontId="41" fillId="0" borderId="0" xfId="36" applyFont="1" applyAlignment="1">
      <alignment horizontal="left" wrapText="1" indent="1"/>
    </xf>
    <xf numFmtId="0" fontId="85" fillId="0" borderId="0" xfId="36" applyFont="1" applyAlignment="1">
      <alignment horizontal="left"/>
    </xf>
    <xf numFmtId="0" fontId="41" fillId="74" borderId="0" xfId="36" applyFont="1" applyFill="1" applyAlignment="1">
      <alignment horizontal="left" indent="1"/>
    </xf>
    <xf numFmtId="0" fontId="83" fillId="74" borderId="0" xfId="36" applyFont="1" applyFill="1" applyAlignment="1">
      <alignment horizontal="left" indent="2"/>
    </xf>
    <xf numFmtId="43" fontId="56" fillId="0" borderId="0" xfId="36" applyNumberFormat="1" applyFont="1" applyAlignment="1">
      <alignment horizontal="left"/>
    </xf>
    <xf numFmtId="181" fontId="41" fillId="0" borderId="0" xfId="36" applyNumberFormat="1" applyFont="1"/>
    <xf numFmtId="0" fontId="116" fillId="60" borderId="0" xfId="36" applyFont="1" applyFill="1" applyAlignment="1">
      <alignment horizontal="left" vertical="center" wrapText="1"/>
    </xf>
    <xf numFmtId="181" fontId="116" fillId="60" borderId="0" xfId="36" applyNumberFormat="1" applyFont="1" applyFill="1" applyAlignment="1">
      <alignment horizontal="right"/>
    </xf>
    <xf numFmtId="0" fontId="41" fillId="60" borderId="0" xfId="36" applyFont="1" applyFill="1" applyAlignment="1">
      <alignment horizontal="left"/>
    </xf>
    <xf numFmtId="168" fontId="41" fillId="60" borderId="0" xfId="36" applyNumberFormat="1" applyFont="1" applyFill="1"/>
    <xf numFmtId="9" fontId="41" fillId="0" borderId="0" xfId="36" applyNumberFormat="1" applyFont="1"/>
    <xf numFmtId="0" fontId="41" fillId="74" borderId="0" xfId="36" applyFont="1" applyFill="1" applyAlignment="1">
      <alignment horizontal="left"/>
    </xf>
    <xf numFmtId="181" fontId="41" fillId="60" borderId="0" xfId="36" applyNumberFormat="1" applyFont="1" applyFill="1"/>
    <xf numFmtId="0" fontId="41" fillId="60" borderId="0" xfId="36" applyFont="1" applyFill="1"/>
    <xf numFmtId="0" fontId="116" fillId="75" borderId="0" xfId="36" applyFont="1" applyFill="1" applyAlignment="1">
      <alignment horizontal="left" vertical="center" wrapText="1"/>
    </xf>
    <xf numFmtId="0" fontId="116" fillId="0" borderId="0" xfId="36" applyFont="1" applyAlignment="1">
      <alignment horizontal="left" vertical="center" wrapText="1"/>
    </xf>
    <xf numFmtId="1" fontId="116" fillId="75" borderId="0" xfId="36" applyNumberFormat="1" applyFont="1" applyFill="1" applyAlignment="1">
      <alignment horizontal="center"/>
    </xf>
    <xf numFmtId="1" fontId="116" fillId="0" borderId="0" xfId="36" applyNumberFormat="1" applyFont="1" applyAlignment="1">
      <alignment horizontal="right"/>
    </xf>
    <xf numFmtId="168" fontId="41" fillId="0" borderId="0" xfId="3939" applyNumberFormat="1" applyFont="1" applyFill="1" applyBorder="1"/>
    <xf numFmtId="168" fontId="116" fillId="75" borderId="0" xfId="3939" applyNumberFormat="1" applyFont="1" applyFill="1" applyBorder="1" applyAlignment="1">
      <alignment horizontal="center"/>
    </xf>
    <xf numFmtId="168" fontId="116" fillId="0" borderId="0" xfId="3939" applyNumberFormat="1" applyFont="1" applyFill="1" applyBorder="1" applyAlignment="1">
      <alignment horizontal="right"/>
    </xf>
    <xf numFmtId="168" fontId="116" fillId="60" borderId="0" xfId="3939" applyNumberFormat="1" applyFont="1" applyFill="1" applyBorder="1" applyAlignment="1">
      <alignment horizontal="right"/>
    </xf>
    <xf numFmtId="168" fontId="41" fillId="0" borderId="0" xfId="3939" applyNumberFormat="1" applyFont="1" applyBorder="1"/>
    <xf numFmtId="168" fontId="41" fillId="60" borderId="0" xfId="3939" applyNumberFormat="1" applyFont="1" applyFill="1" applyBorder="1"/>
    <xf numFmtId="0" fontId="83" fillId="0" borderId="0" xfId="36" applyFont="1" applyAlignment="1">
      <alignment horizontal="left"/>
    </xf>
    <xf numFmtId="0" fontId="84" fillId="60" borderId="0" xfId="36" applyFont="1" applyFill="1" applyAlignment="1">
      <alignment horizontal="left" wrapText="1"/>
    </xf>
    <xf numFmtId="0" fontId="117" fillId="60" borderId="0" xfId="36" applyFont="1" applyFill="1" applyAlignment="1">
      <alignment horizontal="left" wrapText="1"/>
    </xf>
    <xf numFmtId="0" fontId="41" fillId="0" borderId="0" xfId="36" applyFont="1" applyAlignment="1">
      <alignment horizontal="left" vertical="top" wrapText="1"/>
    </xf>
    <xf numFmtId="181" fontId="41" fillId="74" borderId="0" xfId="36" applyNumberFormat="1" applyFont="1" applyFill="1"/>
    <xf numFmtId="181" fontId="41" fillId="60" borderId="52" xfId="36" applyNumberFormat="1" applyFont="1" applyFill="1" applyBorder="1"/>
    <xf numFmtId="181" fontId="41" fillId="0" borderId="54" xfId="36" applyNumberFormat="1" applyFont="1" applyBorder="1"/>
    <xf numFmtId="181" fontId="41" fillId="0" borderId="57" xfId="36" applyNumberFormat="1" applyFont="1" applyBorder="1"/>
    <xf numFmtId="181" fontId="41" fillId="60" borderId="50" xfId="36" applyNumberFormat="1" applyFont="1" applyFill="1" applyBorder="1"/>
    <xf numFmtId="181" fontId="41" fillId="0" borderId="53" xfId="36" applyNumberFormat="1" applyFont="1" applyBorder="1"/>
    <xf numFmtId="181" fontId="41" fillId="0" borderId="55" xfId="36" applyNumberFormat="1" applyFont="1" applyBorder="1"/>
    <xf numFmtId="181" fontId="41" fillId="60" borderId="51" xfId="36" applyNumberFormat="1" applyFont="1" applyFill="1" applyBorder="1"/>
    <xf numFmtId="181" fontId="41" fillId="0" borderId="56" xfId="36" applyNumberFormat="1" applyFont="1" applyBorder="1"/>
    <xf numFmtId="168" fontId="41" fillId="60" borderId="0" xfId="3939" applyNumberFormat="1" applyFont="1" applyFill="1" applyBorder="1" applyAlignment="1">
      <alignment horizontal="right"/>
    </xf>
    <xf numFmtId="0" fontId="71" fillId="67" borderId="58" xfId="11" applyFont="1" applyFill="1" applyBorder="1" applyAlignment="1">
      <alignment horizontal="center"/>
    </xf>
    <xf numFmtId="0" fontId="71" fillId="67" borderId="0" xfId="11" applyFont="1" applyFill="1" applyAlignment="1">
      <alignment horizontal="center"/>
    </xf>
    <xf numFmtId="0" fontId="76" fillId="0" borderId="30" xfId="0" applyFont="1" applyBorder="1"/>
    <xf numFmtId="0" fontId="76" fillId="0" borderId="30" xfId="7" applyFont="1" applyBorder="1"/>
    <xf numFmtId="0" fontId="60" fillId="74" borderId="0" xfId="0" applyFont="1" applyFill="1"/>
    <xf numFmtId="169" fontId="121" fillId="0" borderId="0" xfId="7" applyNumberFormat="1" applyFont="1"/>
    <xf numFmtId="169" fontId="76" fillId="0" borderId="0" xfId="7" applyNumberFormat="1" applyFont="1"/>
    <xf numFmtId="169" fontId="80" fillId="24" borderId="11" xfId="7" applyNumberFormat="1" applyFont="1" applyFill="1" applyBorder="1" applyAlignment="1">
      <alignment horizontal="left"/>
    </xf>
    <xf numFmtId="169" fontId="80" fillId="24" borderId="12" xfId="7" applyNumberFormat="1" applyFont="1" applyFill="1" applyBorder="1" applyAlignment="1">
      <alignment horizontal="left"/>
    </xf>
    <xf numFmtId="169" fontId="79" fillId="31" borderId="11" xfId="1" applyNumberFormat="1" applyFont="1" applyBorder="1" applyAlignment="1">
      <alignment horizontal="left" wrapText="1"/>
    </xf>
    <xf numFmtId="169" fontId="76" fillId="0" borderId="30" xfId="7" applyNumberFormat="1" applyFont="1" applyBorder="1"/>
    <xf numFmtId="169" fontId="76" fillId="0" borderId="30" xfId="7" applyNumberFormat="1" applyFont="1" applyBorder="1" applyAlignment="1">
      <alignment wrapText="1"/>
    </xf>
    <xf numFmtId="169" fontId="76" fillId="0" borderId="30" xfId="7" applyNumberFormat="1" applyFont="1" applyBorder="1" applyAlignment="1">
      <alignment horizontal="center"/>
    </xf>
    <xf numFmtId="169" fontId="78" fillId="0" borderId="0" xfId="7" applyNumberFormat="1" applyFont="1"/>
    <xf numFmtId="169" fontId="79" fillId="31" borderId="10" xfId="1" applyNumberFormat="1" applyFont="1" applyBorder="1" applyAlignment="1">
      <alignment horizontal="left" wrapText="1"/>
    </xf>
    <xf numFmtId="0" fontId="78" fillId="0" borderId="0" xfId="10" applyFont="1" applyAlignment="1">
      <alignment horizontal="left"/>
    </xf>
    <xf numFmtId="0" fontId="80" fillId="24" borderId="11" xfId="10" applyFont="1" applyFill="1" applyBorder="1" applyAlignment="1">
      <alignment horizontal="left" vertical="center"/>
    </xf>
    <xf numFmtId="0" fontId="80" fillId="24" borderId="11" xfId="10" applyFont="1" applyFill="1" applyBorder="1" applyAlignment="1">
      <alignment horizontal="center" vertical="center" wrapText="1"/>
    </xf>
    <xf numFmtId="0" fontId="79" fillId="31" borderId="11" xfId="1" applyFont="1" applyBorder="1" applyAlignment="1">
      <alignment horizontal="left" wrapText="1"/>
    </xf>
    <xf numFmtId="1" fontId="76" fillId="0" borderId="30" xfId="7" applyNumberFormat="1" applyFont="1" applyBorder="1"/>
    <xf numFmtId="2" fontId="76" fillId="61" borderId="30" xfId="6" applyNumberFormat="1" applyFont="1" applyFill="1" applyBorder="1"/>
    <xf numFmtId="0" fontId="76" fillId="61" borderId="30" xfId="6" applyFont="1" applyFill="1" applyBorder="1"/>
    <xf numFmtId="9" fontId="76" fillId="62" borderId="30" xfId="14" applyFont="1" applyFill="1" applyBorder="1"/>
    <xf numFmtId="0" fontId="80" fillId="68" borderId="0" xfId="7" applyFont="1" applyFill="1" applyAlignment="1">
      <alignment horizontal="center"/>
    </xf>
    <xf numFmtId="0" fontId="76" fillId="68" borderId="0" xfId="7" applyFont="1" applyFill="1" applyAlignment="1">
      <alignment horizontal="center"/>
    </xf>
    <xf numFmtId="0" fontId="76" fillId="68" borderId="0" xfId="0" applyFont="1" applyFill="1" applyAlignment="1">
      <alignment horizontal="center"/>
    </xf>
    <xf numFmtId="0" fontId="76" fillId="68" borderId="0" xfId="0" applyFont="1" applyFill="1"/>
    <xf numFmtId="0" fontId="64" fillId="60" borderId="30" xfId="0" applyFont="1" applyFill="1" applyBorder="1" applyAlignment="1">
      <alignment horizontal="center" wrapText="1"/>
    </xf>
    <xf numFmtId="0" fontId="64" fillId="60" borderId="30" xfId="0" applyFont="1" applyFill="1" applyBorder="1" applyAlignment="1">
      <alignment horizontal="center"/>
    </xf>
    <xf numFmtId="0" fontId="14" fillId="60" borderId="30" xfId="0" applyFont="1" applyFill="1" applyBorder="1" applyAlignment="1">
      <alignment wrapText="1"/>
    </xf>
    <xf numFmtId="170" fontId="63" fillId="74" borderId="60" xfId="32" applyNumberFormat="1" applyFont="1" applyFill="1" applyBorder="1" applyAlignment="1" applyProtection="1">
      <alignment horizontal="center" vertical="center"/>
      <protection locked="0"/>
    </xf>
    <xf numFmtId="0" fontId="63" fillId="63" borderId="60" xfId="32" quotePrefix="1" applyFont="1" applyFill="1" applyBorder="1" applyAlignment="1">
      <alignment horizontal="center" vertical="center" wrapText="1"/>
    </xf>
    <xf numFmtId="170" fontId="63" fillId="74" borderId="34" xfId="32" applyNumberFormat="1" applyFont="1" applyFill="1" applyBorder="1" applyAlignment="1" applyProtection="1">
      <alignment horizontal="center" vertical="center"/>
      <protection locked="0"/>
    </xf>
    <xf numFmtId="0" fontId="63" fillId="69" borderId="34" xfId="32" quotePrefix="1" applyFont="1" applyFill="1" applyBorder="1" applyAlignment="1">
      <alignment horizontal="center" vertical="center" wrapText="1"/>
    </xf>
    <xf numFmtId="170" fontId="63" fillId="74" borderId="33" xfId="32" applyNumberFormat="1" applyFont="1" applyFill="1" applyBorder="1" applyAlignment="1" applyProtection="1">
      <alignment horizontal="center" vertical="center"/>
      <protection locked="0"/>
    </xf>
    <xf numFmtId="0" fontId="63" fillId="63" borderId="33" xfId="32" quotePrefix="1" applyFont="1" applyFill="1" applyBorder="1" applyAlignment="1">
      <alignment horizontal="center" vertical="center" wrapText="1"/>
    </xf>
    <xf numFmtId="169" fontId="80" fillId="24" borderId="11" xfId="7" applyNumberFormat="1" applyFont="1" applyFill="1" applyBorder="1" applyAlignment="1">
      <alignment horizontal="center" vertical="center"/>
    </xf>
    <xf numFmtId="169" fontId="80" fillId="24" borderId="12" xfId="7" applyNumberFormat="1" applyFont="1" applyFill="1" applyBorder="1" applyAlignment="1">
      <alignment horizontal="center" vertical="center"/>
    </xf>
    <xf numFmtId="182" fontId="76" fillId="0" borderId="0" xfId="7" applyNumberFormat="1" applyFont="1"/>
    <xf numFmtId="167" fontId="76" fillId="0" borderId="0" xfId="7" applyNumberFormat="1" applyFont="1" applyAlignment="1">
      <alignment horizontal="center"/>
    </xf>
    <xf numFmtId="168" fontId="76" fillId="0" borderId="0" xfId="3355" applyNumberFormat="1" applyFont="1" applyFill="1" applyBorder="1" applyAlignment="1">
      <alignment horizontal="center"/>
    </xf>
    <xf numFmtId="2" fontId="76" fillId="0" borderId="0" xfId="7" applyNumberFormat="1" applyFont="1"/>
    <xf numFmtId="182" fontId="128" fillId="0" borderId="0" xfId="7" applyNumberFormat="1" applyFont="1"/>
    <xf numFmtId="0" fontId="76" fillId="0" borderId="13" xfId="7" applyFont="1" applyBorder="1"/>
    <xf numFmtId="0" fontId="76" fillId="0" borderId="0" xfId="4342" applyFont="1" applyAlignment="1">
      <alignment horizontal="right"/>
    </xf>
    <xf numFmtId="0" fontId="122" fillId="0" borderId="0" xfId="4342" applyFont="1" applyAlignment="1">
      <alignment horizontal="right"/>
    </xf>
    <xf numFmtId="0" fontId="76" fillId="0" borderId="0" xfId="4342" applyFont="1"/>
    <xf numFmtId="0" fontId="76" fillId="0" borderId="0" xfId="4342" applyFont="1" applyAlignment="1">
      <alignment horizontal="left"/>
    </xf>
    <xf numFmtId="0" fontId="78" fillId="0" borderId="0" xfId="4342" applyFont="1" applyAlignment="1">
      <alignment horizontal="left"/>
    </xf>
    <xf numFmtId="169" fontId="81" fillId="31" borderId="11" xfId="1" applyNumberFormat="1" applyFont="1" applyBorder="1" applyAlignment="1">
      <alignment horizontal="center" vertical="center"/>
    </xf>
    <xf numFmtId="0" fontId="76" fillId="66" borderId="61" xfId="7" applyFont="1" applyFill="1" applyBorder="1" applyAlignment="1">
      <alignment horizontal="center"/>
    </xf>
    <xf numFmtId="167" fontId="76" fillId="66" borderId="61" xfId="7" applyNumberFormat="1" applyFont="1" applyFill="1" applyBorder="1" applyAlignment="1">
      <alignment horizontal="center"/>
    </xf>
    <xf numFmtId="0" fontId="80" fillId="60" borderId="61" xfId="4342" applyFont="1" applyFill="1" applyBorder="1" applyAlignment="1">
      <alignment horizontal="center" vertical="center" wrapText="1"/>
    </xf>
    <xf numFmtId="0" fontId="80" fillId="60" borderId="61" xfId="7" applyFont="1" applyFill="1" applyBorder="1" applyAlignment="1">
      <alignment horizontal="center" vertical="center" wrapText="1"/>
    </xf>
    <xf numFmtId="0" fontId="127" fillId="60" borderId="61" xfId="7" applyFont="1" applyFill="1" applyBorder="1" applyAlignment="1">
      <alignment horizontal="center" vertical="center"/>
    </xf>
    <xf numFmtId="2" fontId="76" fillId="66" borderId="61" xfId="7" applyNumberFormat="1" applyFont="1" applyFill="1" applyBorder="1" applyAlignment="1">
      <alignment horizontal="center"/>
    </xf>
    <xf numFmtId="183" fontId="76" fillId="66" borderId="61" xfId="7576" applyNumberFormat="1" applyFont="1" applyFill="1" applyBorder="1" applyAlignment="1"/>
    <xf numFmtId="1" fontId="128" fillId="66" borderId="61" xfId="7" applyNumberFormat="1" applyFont="1" applyFill="1" applyBorder="1" applyAlignment="1">
      <alignment horizontal="center"/>
    </xf>
    <xf numFmtId="0" fontId="81" fillId="24" borderId="61" xfId="7" applyFont="1" applyFill="1" applyBorder="1" applyAlignment="1">
      <alignment horizontal="center"/>
    </xf>
    <xf numFmtId="0" fontId="81" fillId="60" borderId="61" xfId="7" applyFont="1" applyFill="1" applyBorder="1" applyAlignment="1">
      <alignment horizontal="center" wrapText="1"/>
    </xf>
    <xf numFmtId="0" fontId="16" fillId="0" borderId="0" xfId="7" applyFont="1"/>
    <xf numFmtId="0" fontId="81" fillId="66" borderId="61" xfId="7" applyFont="1" applyFill="1" applyBorder="1" applyAlignment="1">
      <alignment horizontal="center"/>
    </xf>
    <xf numFmtId="2" fontId="81" fillId="66" borderId="61" xfId="7" applyNumberFormat="1" applyFont="1" applyFill="1" applyBorder="1" applyAlignment="1">
      <alignment horizontal="center"/>
    </xf>
    <xf numFmtId="169" fontId="76" fillId="66" borderId="61" xfId="7" applyNumberFormat="1" applyFont="1" applyFill="1" applyBorder="1" applyAlignment="1">
      <alignment horizontal="center" vertical="center"/>
    </xf>
    <xf numFmtId="167" fontId="76" fillId="0" borderId="0" xfId="0" applyNumberFormat="1" applyFont="1" applyAlignment="1">
      <alignment horizontal="center"/>
    </xf>
    <xf numFmtId="1" fontId="76" fillId="65" borderId="30" xfId="0" applyNumberFormat="1" applyFont="1" applyFill="1" applyBorder="1" applyAlignment="1">
      <alignment horizontal="center"/>
    </xf>
    <xf numFmtId="9" fontId="128" fillId="66" borderId="61" xfId="7" applyNumberFormat="1" applyFont="1" applyFill="1" applyBorder="1" applyAlignment="1">
      <alignment horizontal="center"/>
    </xf>
    <xf numFmtId="0" fontId="77" fillId="35" borderId="12" xfId="16173" applyFont="1" applyBorder="1" applyAlignment="1">
      <alignment horizontal="center" wrapText="1"/>
    </xf>
    <xf numFmtId="0" fontId="79" fillId="35" borderId="12" xfId="16173" applyFont="1" applyBorder="1" applyAlignment="1">
      <alignment horizontal="center" wrapText="1"/>
    </xf>
    <xf numFmtId="0" fontId="79" fillId="59" borderId="11" xfId="16173" applyFont="1" applyFill="1" applyBorder="1" applyAlignment="1">
      <alignment horizontal="center" wrapText="1"/>
    </xf>
    <xf numFmtId="2" fontId="81" fillId="59" borderId="30" xfId="16173" applyNumberFormat="1" applyFont="1" applyFill="1" applyBorder="1" applyAlignment="1">
      <alignment horizontal="center" wrapText="1"/>
    </xf>
    <xf numFmtId="0" fontId="63" fillId="72" borderId="30" xfId="32" applyFont="1" applyFill="1" applyBorder="1" applyAlignment="1">
      <alignment horizontal="center" vertical="center"/>
    </xf>
    <xf numFmtId="0" fontId="84" fillId="123" borderId="0" xfId="8" applyFont="1" applyFill="1" applyAlignment="1">
      <alignment horizontal="left" wrapText="1"/>
    </xf>
    <xf numFmtId="0" fontId="5" fillId="123" borderId="0" xfId="8" applyFont="1" applyFill="1"/>
    <xf numFmtId="0" fontId="85" fillId="123" borderId="0" xfId="8" applyFont="1" applyFill="1" applyAlignment="1">
      <alignment horizontal="left"/>
    </xf>
    <xf numFmtId="0" fontId="62" fillId="123" borderId="62" xfId="8" applyFont="1" applyFill="1" applyBorder="1" applyAlignment="1">
      <alignment horizontal="left" vertical="center" wrapText="1"/>
    </xf>
    <xf numFmtId="0" fontId="56" fillId="123" borderId="62" xfId="8" applyFont="1" applyFill="1" applyBorder="1"/>
    <xf numFmtId="0" fontId="56" fillId="123" borderId="0" xfId="8" applyFont="1" applyFill="1" applyAlignment="1">
      <alignment horizontal="left"/>
    </xf>
    <xf numFmtId="17" fontId="56" fillId="123" borderId="0" xfId="8" applyNumberFormat="1" applyFont="1" applyFill="1"/>
    <xf numFmtId="0" fontId="56" fillId="123" borderId="0" xfId="8" applyFont="1" applyFill="1" applyAlignment="1">
      <alignment horizontal="left" indent="1"/>
    </xf>
    <xf numFmtId="0" fontId="5" fillId="123" borderId="0" xfId="8" applyFont="1" applyFill="1" applyAlignment="1">
      <alignment horizontal="left" indent="2"/>
    </xf>
    <xf numFmtId="0" fontId="116" fillId="123" borderId="0" xfId="8" applyFont="1" applyFill="1" applyAlignment="1">
      <alignment horizontal="left" vertical="center" wrapText="1" indent="2"/>
    </xf>
    <xf numFmtId="168" fontId="62" fillId="123" borderId="0" xfId="8" applyNumberFormat="1" applyFont="1" applyFill="1" applyAlignment="1">
      <alignment horizontal="left" vertical="center" wrapText="1" indent="1"/>
    </xf>
    <xf numFmtId="0" fontId="116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3"/>
    </xf>
    <xf numFmtId="0" fontId="62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2"/>
    </xf>
    <xf numFmtId="0" fontId="131" fillId="123" borderId="0" xfId="8" applyFont="1" applyFill="1" applyAlignment="1">
      <alignment horizontal="left" vertical="center" wrapText="1"/>
    </xf>
    <xf numFmtId="0" fontId="67" fillId="63" borderId="0" xfId="0" applyFont="1" applyFill="1"/>
    <xf numFmtId="0" fontId="0" fillId="63" borderId="0" xfId="0" applyFill="1"/>
    <xf numFmtId="0" fontId="14" fillId="124" borderId="14" xfId="0" applyFont="1" applyFill="1" applyBorder="1" applyAlignment="1">
      <alignment horizontal="center" vertical="center" wrapText="1"/>
    </xf>
    <xf numFmtId="0" fontId="15" fillId="124" borderId="14" xfId="0" applyFont="1" applyFill="1" applyBorder="1" applyAlignment="1">
      <alignment horizontal="center" vertical="center" wrapText="1"/>
    </xf>
    <xf numFmtId="0" fontId="15" fillId="124" borderId="12" xfId="0" applyFont="1" applyFill="1" applyBorder="1" applyAlignment="1">
      <alignment horizontal="center" vertical="center" wrapText="1"/>
    </xf>
    <xf numFmtId="0" fontId="15" fillId="124" borderId="17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/>
    </xf>
    <xf numFmtId="43" fontId="15" fillId="63" borderId="36" xfId="40306" applyFont="1" applyFill="1" applyBorder="1" applyAlignment="1">
      <alignment horizontal="center" vertical="center"/>
    </xf>
    <xf numFmtId="0" fontId="15" fillId="63" borderId="63" xfId="0" applyFont="1" applyFill="1" applyBorder="1" applyAlignment="1">
      <alignment horizontal="center" vertical="center"/>
    </xf>
    <xf numFmtId="43" fontId="14" fillId="63" borderId="63" xfId="0" applyNumberFormat="1" applyFont="1" applyFill="1" applyBorder="1" applyAlignment="1">
      <alignment horizontal="center" vertical="center"/>
    </xf>
    <xf numFmtId="0" fontId="14" fillId="63" borderId="16" xfId="48672" applyFont="1" applyBorder="1" applyAlignment="1">
      <alignment horizontal="left"/>
    </xf>
    <xf numFmtId="43" fontId="15" fillId="63" borderId="63" xfId="40306" applyFont="1" applyFill="1" applyBorder="1" applyAlignment="1">
      <alignment horizontal="center" vertical="center"/>
    </xf>
    <xf numFmtId="43" fontId="15" fillId="63" borderId="63" xfId="40306" applyFont="1" applyFill="1" applyBorder="1" applyAlignment="1">
      <alignment horizontal="center"/>
    </xf>
    <xf numFmtId="0" fontId="15" fillId="63" borderId="18" xfId="48672" applyBorder="1" applyAlignment="1">
      <alignment horizontal="left"/>
    </xf>
    <xf numFmtId="0" fontId="15" fillId="63" borderId="18" xfId="0" applyFont="1" applyFill="1" applyBorder="1"/>
    <xf numFmtId="43" fontId="15" fillId="63" borderId="64" xfId="40306" applyFont="1" applyFill="1" applyBorder="1" applyAlignment="1">
      <alignment horizontal="center" vertical="center"/>
    </xf>
    <xf numFmtId="0" fontId="15" fillId="63" borderId="64" xfId="0" applyFont="1" applyFill="1" applyBorder="1"/>
    <xf numFmtId="43" fontId="14" fillId="63" borderId="14" xfId="0" applyNumberFormat="1" applyFont="1" applyFill="1" applyBorder="1"/>
    <xf numFmtId="184" fontId="85" fillId="123" borderId="0" xfId="8" applyNumberFormat="1" applyFont="1" applyFill="1"/>
    <xf numFmtId="184" fontId="56" fillId="123" borderId="0" xfId="8" applyNumberFormat="1" applyFont="1" applyFill="1"/>
    <xf numFmtId="184" fontId="5" fillId="123" borderId="0" xfId="8" applyNumberFormat="1" applyFont="1" applyFill="1"/>
    <xf numFmtId="184" fontId="83" fillId="123" borderId="0" xfId="8" applyNumberFormat="1" applyFont="1" applyFill="1"/>
    <xf numFmtId="17" fontId="15" fillId="63" borderId="0" xfId="8" applyNumberFormat="1" applyFill="1"/>
    <xf numFmtId="0" fontId="15" fillId="63" borderId="0" xfId="8" applyFill="1"/>
    <xf numFmtId="0" fontId="82" fillId="0" borderId="0" xfId="39619"/>
    <xf numFmtId="0" fontId="136" fillId="63" borderId="0" xfId="8" applyFont="1" applyFill="1" applyAlignment="1">
      <alignment horizontal="left" vertical="top"/>
    </xf>
    <xf numFmtId="0" fontId="76" fillId="63" borderId="0" xfId="8" applyFont="1" applyFill="1" applyAlignment="1">
      <alignment vertical="top"/>
    </xf>
    <xf numFmtId="166" fontId="76" fillId="75" borderId="13" xfId="8" applyNumberFormat="1" applyFont="1" applyFill="1" applyBorder="1" applyAlignment="1">
      <alignment horizontal="center" vertical="center" wrapText="1"/>
    </xf>
    <xf numFmtId="166" fontId="76" fillId="75" borderId="0" xfId="8" applyNumberFormat="1" applyFont="1" applyFill="1" applyAlignment="1">
      <alignment horizontal="center" vertical="center" wrapText="1"/>
    </xf>
    <xf numFmtId="0" fontId="76" fillId="75" borderId="0" xfId="8" applyFont="1" applyFill="1" applyAlignment="1">
      <alignment horizontal="center" vertical="center" wrapText="1"/>
    </xf>
    <xf numFmtId="166" fontId="80" fillId="75" borderId="63" xfId="8" applyNumberFormat="1" applyFont="1" applyFill="1" applyBorder="1" applyAlignment="1">
      <alignment horizontal="center" vertical="center" wrapText="1"/>
    </xf>
    <xf numFmtId="166" fontId="80" fillId="75" borderId="0" xfId="8" applyNumberFormat="1" applyFont="1" applyFill="1" applyAlignment="1">
      <alignment horizontal="center" vertical="center" wrapText="1"/>
    </xf>
    <xf numFmtId="0" fontId="80" fillId="63" borderId="16" xfId="8" applyFont="1" applyFill="1" applyBorder="1" applyAlignment="1">
      <alignment horizontal="center" vertical="center"/>
    </xf>
    <xf numFmtId="183" fontId="76" fillId="63" borderId="13" xfId="39621" applyNumberFormat="1" applyFont="1" applyFill="1" applyBorder="1" applyAlignment="1">
      <alignment horizontal="center"/>
    </xf>
    <xf numFmtId="183" fontId="76" fillId="63" borderId="0" xfId="39621" applyNumberFormat="1" applyFont="1" applyFill="1" applyBorder="1" applyAlignment="1">
      <alignment horizontal="center"/>
    </xf>
    <xf numFmtId="3" fontId="80" fillId="63" borderId="63" xfId="39621" applyNumberFormat="1" applyFont="1" applyFill="1" applyBorder="1" applyAlignment="1">
      <alignment horizontal="center"/>
    </xf>
    <xf numFmtId="3" fontId="80" fillId="63" borderId="13" xfId="39621" applyNumberFormat="1" applyFont="1" applyFill="1" applyBorder="1" applyAlignment="1">
      <alignment horizontal="center"/>
    </xf>
    <xf numFmtId="3" fontId="80" fillId="63" borderId="0" xfId="39621" applyNumberFormat="1" applyFont="1" applyFill="1" applyBorder="1" applyAlignment="1">
      <alignment horizontal="center"/>
    </xf>
    <xf numFmtId="0" fontId="80" fillId="63" borderId="16" xfId="8" applyFont="1" applyFill="1" applyBorder="1" applyAlignment="1">
      <alignment horizontal="center"/>
    </xf>
    <xf numFmtId="3" fontId="76" fillId="63" borderId="13" xfId="39621" applyNumberFormat="1" applyFont="1" applyFill="1" applyBorder="1" applyAlignment="1">
      <alignment horizontal="center"/>
    </xf>
    <xf numFmtId="3" fontId="76" fillId="63" borderId="0" xfId="39621" applyNumberFormat="1" applyFont="1" applyFill="1" applyBorder="1" applyAlignment="1">
      <alignment horizontal="center"/>
    </xf>
    <xf numFmtId="3" fontId="15" fillId="63" borderId="0" xfId="8" applyNumberFormat="1" applyFill="1"/>
    <xf numFmtId="185" fontId="80" fillId="63" borderId="15" xfId="8" applyNumberFormat="1" applyFont="1" applyFill="1" applyBorder="1" applyAlignment="1">
      <alignment horizontal="center"/>
    </xf>
    <xf numFmtId="183" fontId="76" fillId="63" borderId="65" xfId="39621" applyNumberFormat="1" applyFont="1" applyFill="1" applyBorder="1" applyAlignment="1">
      <alignment horizontal="center"/>
    </xf>
    <xf numFmtId="183" fontId="76" fillId="63" borderId="11" xfId="39621" applyNumberFormat="1" applyFont="1" applyFill="1" applyBorder="1" applyAlignment="1">
      <alignment horizontal="center"/>
    </xf>
    <xf numFmtId="3" fontId="80" fillId="63" borderId="36" xfId="39621" applyNumberFormat="1" applyFont="1" applyFill="1" applyBorder="1" applyAlignment="1">
      <alignment horizontal="center"/>
    </xf>
    <xf numFmtId="3" fontId="80" fillId="63" borderId="65" xfId="39621" applyNumberFormat="1" applyFont="1" applyFill="1" applyBorder="1" applyAlignment="1">
      <alignment horizontal="center"/>
    </xf>
    <xf numFmtId="3" fontId="80" fillId="63" borderId="11" xfId="39621" applyNumberFormat="1" applyFont="1" applyFill="1" applyBorder="1" applyAlignment="1">
      <alignment horizontal="center"/>
    </xf>
    <xf numFmtId="185" fontId="80" fillId="63" borderId="16" xfId="8" applyNumberFormat="1" applyFont="1" applyFill="1" applyBorder="1" applyAlignment="1">
      <alignment horizontal="left"/>
    </xf>
    <xf numFmtId="168" fontId="76" fillId="63" borderId="13" xfId="81" applyNumberFormat="1" applyFont="1" applyFill="1" applyBorder="1" applyAlignment="1">
      <alignment horizontal="center"/>
    </xf>
    <xf numFmtId="168" fontId="76" fillId="63" borderId="0" xfId="81" applyNumberFormat="1" applyFont="1" applyFill="1" applyBorder="1" applyAlignment="1">
      <alignment horizontal="center"/>
    </xf>
    <xf numFmtId="168" fontId="80" fillId="63" borderId="63" xfId="81" applyNumberFormat="1" applyFont="1" applyFill="1" applyBorder="1" applyAlignment="1">
      <alignment horizontal="center"/>
    </xf>
    <xf numFmtId="168" fontId="80" fillId="63" borderId="0" xfId="81" applyNumberFormat="1" applyFont="1" applyFill="1" applyBorder="1" applyAlignment="1">
      <alignment horizontal="center"/>
    </xf>
    <xf numFmtId="185" fontId="80" fillId="63" borderId="18" xfId="8" applyNumberFormat="1" applyFont="1" applyFill="1" applyBorder="1" applyAlignment="1">
      <alignment horizontal="left"/>
    </xf>
    <xf numFmtId="168" fontId="76" fillId="63" borderId="20" xfId="81" applyNumberFormat="1" applyFont="1" applyFill="1" applyBorder="1" applyAlignment="1">
      <alignment horizontal="center"/>
    </xf>
    <xf numFmtId="168" fontId="76" fillId="63" borderId="62" xfId="81" applyNumberFormat="1" applyFont="1" applyFill="1" applyBorder="1" applyAlignment="1">
      <alignment horizontal="center"/>
    </xf>
    <xf numFmtId="168" fontId="80" fillId="63" borderId="64" xfId="81" applyNumberFormat="1" applyFont="1" applyFill="1" applyBorder="1" applyAlignment="1">
      <alignment horizontal="center"/>
    </xf>
    <xf numFmtId="168" fontId="80" fillId="63" borderId="62" xfId="81" applyNumberFormat="1" applyFont="1" applyFill="1" applyBorder="1" applyAlignment="1">
      <alignment horizontal="center"/>
    </xf>
    <xf numFmtId="185" fontId="80" fillId="63" borderId="0" xfId="8" applyNumberFormat="1" applyFont="1" applyFill="1" applyAlignment="1">
      <alignment horizontal="center"/>
    </xf>
    <xf numFmtId="185" fontId="14" fillId="63" borderId="0" xfId="8" applyNumberFormat="1" applyFont="1" applyFill="1" applyAlignment="1">
      <alignment horizontal="center"/>
    </xf>
    <xf numFmtId="183" fontId="15" fillId="63" borderId="0" xfId="39621" applyNumberFormat="1" applyFont="1" applyFill="1" applyBorder="1" applyAlignment="1">
      <alignment horizontal="center"/>
    </xf>
    <xf numFmtId="3" fontId="14" fillId="63" borderId="0" xfId="39621" applyNumberFormat="1" applyFont="1" applyFill="1" applyBorder="1" applyAlignment="1">
      <alignment horizontal="center"/>
    </xf>
    <xf numFmtId="0" fontId="15" fillId="63" borderId="0" xfId="8" applyFill="1" applyAlignment="1">
      <alignment horizontal="left" indent="6"/>
    </xf>
    <xf numFmtId="0" fontId="15" fillId="63" borderId="0" xfId="8" applyFill="1" applyAlignment="1">
      <alignment horizontal="right"/>
    </xf>
    <xf numFmtId="0" fontId="15" fillId="63" borderId="0" xfId="8" applyFill="1" applyAlignment="1">
      <alignment horizontal="left"/>
    </xf>
    <xf numFmtId="0" fontId="0" fillId="67" borderId="0" xfId="0" applyFill="1" applyAlignment="1">
      <alignment horizontal="center"/>
    </xf>
    <xf numFmtId="0" fontId="143" fillId="133" borderId="73" xfId="0" applyFont="1" applyFill="1" applyBorder="1" applyAlignment="1">
      <alignment horizontal="center"/>
    </xf>
    <xf numFmtId="43" fontId="138" fillId="63" borderId="0" xfId="32" applyNumberFormat="1" applyFont="1" applyFill="1" applyAlignment="1" applyProtection="1">
      <alignment horizontal="right" vertical="center" indent="1"/>
      <protection locked="0"/>
    </xf>
    <xf numFmtId="43" fontId="138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8" fillId="63" borderId="0" xfId="32" applyNumberFormat="1" applyFont="1" applyFill="1" applyAlignment="1">
      <alignment horizontal="right" vertical="center" indent="1"/>
    </xf>
    <xf numFmtId="43" fontId="67" fillId="26" borderId="67" xfId="32" applyNumberFormat="1" applyFont="1" applyFill="1" applyBorder="1" applyAlignment="1">
      <alignment horizontal="right" vertical="center" indent="1"/>
    </xf>
    <xf numFmtId="43" fontId="67" fillId="64" borderId="67" xfId="32" applyNumberFormat="1" applyFont="1" applyFill="1" applyBorder="1" applyAlignment="1">
      <alignment horizontal="right" vertical="center" indent="1"/>
    </xf>
    <xf numFmtId="43" fontId="67" fillId="125" borderId="66" xfId="32" applyNumberFormat="1" applyFont="1" applyFill="1" applyBorder="1" applyAlignment="1">
      <alignment horizontal="right" vertical="center" indent="1"/>
    </xf>
    <xf numFmtId="43" fontId="138" fillId="125" borderId="66" xfId="32" applyNumberFormat="1" applyFont="1" applyFill="1" applyBorder="1" applyAlignment="1">
      <alignment horizontal="right" vertical="center" indent="1"/>
    </xf>
    <xf numFmtId="43" fontId="138" fillId="63" borderId="0" xfId="32" applyNumberFormat="1" applyFont="1" applyFill="1" applyAlignment="1" applyProtection="1">
      <alignment horizontal="right" indent="1"/>
      <protection locked="0"/>
    </xf>
    <xf numFmtId="43" fontId="138" fillId="63" borderId="68" xfId="32" applyNumberFormat="1" applyFont="1" applyFill="1" applyBorder="1" applyAlignment="1" applyProtection="1">
      <alignment horizontal="right" indent="1"/>
      <protection locked="0"/>
    </xf>
    <xf numFmtId="43" fontId="138" fillId="63" borderId="0" xfId="32" applyNumberFormat="1" applyFont="1" applyFill="1" applyAlignment="1">
      <alignment vertical="center"/>
    </xf>
    <xf numFmtId="43" fontId="67" fillId="59" borderId="67" xfId="32" applyNumberFormat="1" applyFont="1" applyFill="1" applyBorder="1" applyAlignment="1">
      <alignment horizontal="right" vertical="center" indent="1"/>
    </xf>
    <xf numFmtId="43" fontId="67" fillId="126" borderId="67" xfId="32" applyNumberFormat="1" applyFont="1" applyFill="1" applyBorder="1" applyAlignment="1">
      <alignment horizontal="right" vertical="center" indent="1"/>
    </xf>
    <xf numFmtId="43" fontId="67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8" fillId="128" borderId="66" xfId="32" applyNumberFormat="1" applyFont="1" applyFill="1" applyBorder="1" applyAlignment="1">
      <alignment horizontal="right" vertical="center" indent="1"/>
    </xf>
    <xf numFmtId="0" fontId="68" fillId="67" borderId="73" xfId="0" applyFont="1" applyFill="1" applyBorder="1" applyAlignment="1">
      <alignment horizontal="right"/>
    </xf>
    <xf numFmtId="0" fontId="139" fillId="67" borderId="73" xfId="0" applyFont="1" applyFill="1" applyBorder="1" applyAlignment="1">
      <alignment vertical="top" wrapText="1"/>
    </xf>
    <xf numFmtId="0" fontId="0" fillId="67" borderId="0" xfId="0" applyFill="1"/>
    <xf numFmtId="0" fontId="139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8" fillId="60" borderId="73" xfId="0" applyFont="1" applyFill="1" applyBorder="1" applyAlignment="1">
      <alignment horizontal="right"/>
    </xf>
    <xf numFmtId="0" fontId="143" fillId="134" borderId="73" xfId="0" applyFont="1" applyFill="1" applyBorder="1" applyAlignment="1">
      <alignment horizontal="center"/>
    </xf>
    <xf numFmtId="0" fontId="141" fillId="129" borderId="73" xfId="0" applyFont="1" applyFill="1" applyBorder="1" applyAlignment="1">
      <alignment horizontal="center" vertical="top" wrapText="1"/>
    </xf>
    <xf numFmtId="0" fontId="140" fillId="130" borderId="73" xfId="0" applyFont="1" applyFill="1" applyBorder="1" applyAlignment="1">
      <alignment wrapText="1"/>
    </xf>
    <xf numFmtId="0" fontId="143" fillId="131" borderId="73" xfId="0" applyFont="1" applyFill="1" applyBorder="1" applyAlignment="1">
      <alignment horizontal="center"/>
    </xf>
    <xf numFmtId="0" fontId="139" fillId="130" borderId="73" xfId="0" applyFont="1" applyFill="1" applyBorder="1" applyAlignment="1">
      <alignment vertical="top" wrapText="1"/>
    </xf>
    <xf numFmtId="0" fontId="68" fillId="0" borderId="73" xfId="0" applyFont="1" applyBorder="1" applyAlignment="1">
      <alignment horizontal="right"/>
    </xf>
    <xf numFmtId="0" fontId="68" fillId="132" borderId="73" xfId="0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9" fillId="135" borderId="73" xfId="0" applyFont="1" applyFill="1" applyBorder="1" applyAlignment="1">
      <alignment vertical="top" wrapText="1"/>
    </xf>
    <xf numFmtId="0" fontId="143" fillId="136" borderId="73" xfId="0" applyFont="1" applyFill="1" applyBorder="1" applyAlignment="1">
      <alignment horizontal="center"/>
    </xf>
    <xf numFmtId="0" fontId="68" fillId="135" borderId="73" xfId="0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9" fillId="137" borderId="73" xfId="0" applyFont="1" applyFill="1" applyBorder="1" applyAlignment="1">
      <alignment vertical="top" wrapText="1"/>
    </xf>
    <xf numFmtId="0" fontId="143" fillId="138" borderId="73" xfId="0" applyFont="1" applyFill="1" applyBorder="1" applyAlignment="1">
      <alignment horizontal="center"/>
    </xf>
    <xf numFmtId="0" fontId="68" fillId="137" borderId="73" xfId="0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8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81" fontId="41" fillId="0" borderId="0" xfId="36" applyNumberFormat="1" applyFont="1" applyAlignment="1">
      <alignment horizontal="center" vertical="center"/>
    </xf>
    <xf numFmtId="9" fontId="76" fillId="65" borderId="30" xfId="48722" applyFont="1" applyFill="1" applyBorder="1" applyAlignment="1">
      <alignment horizontal="center"/>
    </xf>
    <xf numFmtId="168" fontId="76" fillId="65" borderId="30" xfId="48722" applyNumberFormat="1" applyFont="1" applyFill="1" applyBorder="1" applyAlignment="1">
      <alignment horizontal="center"/>
    </xf>
    <xf numFmtId="168" fontId="76" fillId="0" borderId="0" xfId="48722" applyNumberFormat="1" applyFont="1" applyAlignment="1">
      <alignment horizontal="center"/>
    </xf>
    <xf numFmtId="187" fontId="76" fillId="65" borderId="30" xfId="7" applyNumberFormat="1" applyFont="1" applyFill="1" applyBorder="1" applyAlignment="1">
      <alignment horizontal="center"/>
    </xf>
    <xf numFmtId="10" fontId="76" fillId="65" borderId="30" xfId="48722" applyNumberFormat="1" applyFont="1" applyFill="1" applyBorder="1" applyAlignment="1">
      <alignment horizontal="center"/>
    </xf>
    <xf numFmtId="0" fontId="80" fillId="24" borderId="0" xfId="9" applyFont="1" applyFill="1" applyAlignment="1">
      <alignment horizontal="center" vertical="center" wrapText="1"/>
    </xf>
    <xf numFmtId="2" fontId="76" fillId="65" borderId="34" xfId="7" applyNumberFormat="1" applyFont="1" applyFill="1" applyBorder="1" applyAlignment="1">
      <alignment horizontal="center"/>
    </xf>
    <xf numFmtId="0" fontId="76" fillId="65" borderId="0" xfId="0" applyFont="1" applyFill="1" applyAlignment="1">
      <alignment horizontal="center"/>
    </xf>
    <xf numFmtId="169" fontId="76" fillId="0" borderId="0" xfId="7" applyNumberFormat="1" applyFont="1" applyAlignment="1">
      <alignment horizontal="center"/>
    </xf>
    <xf numFmtId="2" fontId="76" fillId="0" borderId="0" xfId="7" applyNumberFormat="1" applyFont="1" applyAlignment="1">
      <alignment horizontal="center"/>
    </xf>
    <xf numFmtId="11" fontId="76" fillId="0" borderId="0" xfId="0" applyNumberFormat="1" applyFont="1"/>
    <xf numFmtId="0" fontId="89" fillId="0" borderId="0" xfId="0" applyFont="1"/>
    <xf numFmtId="168" fontId="76" fillId="0" borderId="0" xfId="3355" applyNumberFormat="1" applyFont="1" applyFill="1" applyBorder="1" applyAlignment="1">
      <alignment horizontal="center" wrapText="1"/>
    </xf>
    <xf numFmtId="0" fontId="76" fillId="0" borderId="0" xfId="7" applyFont="1" applyAlignment="1">
      <alignment wrapText="1"/>
    </xf>
    <xf numFmtId="0" fontId="14" fillId="0" borderId="0" xfId="0" applyFont="1"/>
    <xf numFmtId="0" fontId="146" fillId="24" borderId="11" xfId="9" applyFont="1" applyFill="1" applyBorder="1" applyAlignment="1">
      <alignment horizontal="center" vertical="center" wrapText="1"/>
    </xf>
    <xf numFmtId="0" fontId="147" fillId="31" borderId="11" xfId="1" applyFont="1" applyBorder="1" applyAlignment="1">
      <alignment horizontal="center" wrapText="1"/>
    </xf>
    <xf numFmtId="0" fontId="147" fillId="31" borderId="12" xfId="1" applyFont="1" applyBorder="1" applyAlignment="1">
      <alignment horizontal="center" wrapText="1"/>
    </xf>
    <xf numFmtId="0" fontId="147" fillId="31" borderId="0" xfId="1" applyFont="1" applyBorder="1" applyAlignment="1">
      <alignment horizontal="center" wrapText="1"/>
    </xf>
    <xf numFmtId="2" fontId="148" fillId="65" borderId="30" xfId="0" applyNumberFormat="1" applyFont="1" applyFill="1" applyBorder="1" applyAlignment="1">
      <alignment horizontal="center"/>
    </xf>
    <xf numFmtId="0" fontId="148" fillId="0" borderId="0" xfId="7" applyFont="1" applyAlignment="1">
      <alignment horizontal="center"/>
    </xf>
    <xf numFmtId="0" fontId="77" fillId="0" borderId="0" xfId="48723" applyFont="1" applyFill="1" applyBorder="1" applyAlignment="1">
      <alignment horizontal="center" wrapText="1"/>
    </xf>
    <xf numFmtId="169" fontId="78" fillId="0" borderId="0" xfId="48724" applyNumberFormat="1" applyFont="1" applyAlignment="1">
      <alignment horizontal="center"/>
    </xf>
    <xf numFmtId="169" fontId="78" fillId="0" borderId="0" xfId="7" applyNumberFormat="1" applyFont="1" applyAlignment="1">
      <alignment horizontal="center"/>
    </xf>
    <xf numFmtId="169" fontId="80" fillId="24" borderId="11" xfId="7" applyNumberFormat="1" applyFont="1" applyFill="1" applyBorder="1" applyAlignment="1">
      <alignment horizontal="center"/>
    </xf>
    <xf numFmtId="169" fontId="80" fillId="24" borderId="12" xfId="7" applyNumberFormat="1" applyFont="1" applyFill="1" applyBorder="1" applyAlignment="1">
      <alignment horizontal="center"/>
    </xf>
    <xf numFmtId="169" fontId="79" fillId="31" borderId="11" xfId="48725" applyNumberFormat="1" applyFont="1" applyBorder="1" applyAlignment="1">
      <alignment horizontal="center" wrapText="1"/>
    </xf>
    <xf numFmtId="1" fontId="81" fillId="0" borderId="0" xfId="48723" applyNumberFormat="1" applyFont="1" applyFill="1" applyBorder="1" applyAlignment="1">
      <alignment horizontal="center" wrapText="1"/>
    </xf>
    <xf numFmtId="169" fontId="79" fillId="31" borderId="10" xfId="48725" applyNumberFormat="1" applyFont="1" applyBorder="1" applyAlignment="1">
      <alignment horizontal="center" wrapText="1"/>
    </xf>
    <xf numFmtId="169" fontId="76" fillId="0" borderId="30" xfId="7" applyNumberFormat="1" applyFont="1" applyBorder="1" applyAlignment="1">
      <alignment horizontal="center" wrapText="1"/>
    </xf>
    <xf numFmtId="0" fontId="79" fillId="31" borderId="11" xfId="48725" applyFont="1" applyBorder="1" applyAlignment="1">
      <alignment horizontal="center" wrapText="1"/>
    </xf>
    <xf numFmtId="0" fontId="147" fillId="31" borderId="11" xfId="48725" applyFont="1" applyBorder="1" applyAlignment="1">
      <alignment horizontal="center" wrapText="1"/>
    </xf>
    <xf numFmtId="0" fontId="147" fillId="31" borderId="12" xfId="48725" applyFont="1" applyBorder="1" applyAlignment="1">
      <alignment horizontal="center" wrapText="1"/>
    </xf>
    <xf numFmtId="0" fontId="79" fillId="31" borderId="12" xfId="48725" applyFont="1" applyBorder="1" applyAlignment="1">
      <alignment horizontal="center" wrapText="1"/>
    </xf>
    <xf numFmtId="0" fontId="79" fillId="31" borderId="0" xfId="48725" applyFont="1" applyBorder="1" applyAlignment="1">
      <alignment horizontal="center" wrapText="1"/>
    </xf>
    <xf numFmtId="0" fontId="147" fillId="31" borderId="0" xfId="48725" applyFont="1" applyBorder="1" applyAlignment="1">
      <alignment horizontal="center" wrapText="1"/>
    </xf>
    <xf numFmtId="2" fontId="148" fillId="65" borderId="30" xfId="7" applyNumberFormat="1" applyFont="1" applyFill="1" applyBorder="1" applyAlignment="1">
      <alignment horizontal="center"/>
    </xf>
    <xf numFmtId="166" fontId="148" fillId="65" borderId="30" xfId="7" applyNumberFormat="1" applyFont="1" applyFill="1" applyBorder="1" applyAlignment="1">
      <alignment horizontal="center"/>
    </xf>
    <xf numFmtId="2" fontId="76" fillId="65" borderId="32" xfId="7" applyNumberFormat="1" applyFont="1" applyFill="1" applyBorder="1" applyAlignment="1">
      <alignment horizontal="center"/>
    </xf>
    <xf numFmtId="1" fontId="76" fillId="65" borderId="30" xfId="7" applyNumberFormat="1" applyFont="1" applyFill="1" applyBorder="1" applyAlignment="1">
      <alignment horizontal="center"/>
    </xf>
    <xf numFmtId="0" fontId="76" fillId="65" borderId="0" xfId="7" applyFont="1" applyFill="1" applyAlignment="1">
      <alignment horizontal="center"/>
    </xf>
    <xf numFmtId="0" fontId="76" fillId="68" borderId="0" xfId="7" applyFont="1" applyFill="1"/>
    <xf numFmtId="167" fontId="76" fillId="0" borderId="0" xfId="7" applyNumberFormat="1" applyFont="1" applyAlignment="1">
      <alignment horizontal="left"/>
    </xf>
    <xf numFmtId="169" fontId="76" fillId="0" borderId="30" xfId="7" applyNumberFormat="1" applyFont="1" applyBorder="1" applyAlignment="1">
      <alignment horizontal="left" vertical="top" wrapText="1"/>
    </xf>
    <xf numFmtId="167" fontId="149" fillId="65" borderId="30" xfId="7" applyNumberFormat="1" applyFont="1" applyFill="1" applyBorder="1" applyAlignment="1">
      <alignment horizontal="center"/>
    </xf>
    <xf numFmtId="169" fontId="76" fillId="0" borderId="0" xfId="7" applyNumberFormat="1" applyFont="1" applyAlignment="1">
      <alignment wrapText="1"/>
    </xf>
    <xf numFmtId="169" fontId="150" fillId="24" borderId="11" xfId="48726" applyNumberFormat="1" applyFont="1" applyFill="1" applyBorder="1" applyAlignment="1">
      <alignment horizontal="left" vertical="top"/>
    </xf>
    <xf numFmtId="169" fontId="72" fillId="31" borderId="11" xfId="48727" applyNumberFormat="1" applyFont="1" applyBorder="1" applyAlignment="1">
      <alignment horizontal="left" vertical="top" wrapText="1"/>
    </xf>
    <xf numFmtId="169" fontId="76" fillId="0" borderId="76" xfId="7" applyNumberFormat="1" applyFont="1" applyBorder="1" applyAlignment="1">
      <alignment horizontal="left" vertical="center"/>
    </xf>
    <xf numFmtId="169" fontId="150" fillId="24" borderId="11" xfId="0" applyNumberFormat="1" applyFont="1" applyFill="1" applyBorder="1" applyAlignment="1">
      <alignment horizontal="left" vertical="top"/>
    </xf>
    <xf numFmtId="169" fontId="76" fillId="0" borderId="30" xfId="7" applyNumberFormat="1" applyFont="1" applyBorder="1" applyAlignment="1">
      <alignment horizontal="left"/>
    </xf>
    <xf numFmtId="169" fontId="76" fillId="0" borderId="0" xfId="7" applyNumberFormat="1" applyFont="1" applyAlignment="1">
      <alignment horizontal="left"/>
    </xf>
    <xf numFmtId="169" fontId="80" fillId="24" borderId="11" xfId="0" applyNumberFormat="1" applyFont="1" applyFill="1" applyBorder="1" applyAlignment="1">
      <alignment horizontal="left" vertical="top"/>
    </xf>
    <xf numFmtId="169" fontId="80" fillId="24" borderId="11" xfId="0" applyNumberFormat="1" applyFont="1" applyFill="1" applyBorder="1" applyAlignment="1">
      <alignment vertical="top"/>
    </xf>
    <xf numFmtId="169" fontId="79" fillId="31" borderId="10" xfId="48727" applyNumberFormat="1" applyFont="1" applyBorder="1" applyAlignment="1">
      <alignment horizontal="left" vertical="top" wrapText="1"/>
    </xf>
    <xf numFmtId="169" fontId="79" fillId="31" borderId="10" xfId="48727" applyNumberFormat="1" applyFont="1" applyBorder="1" applyAlignment="1">
      <alignment vertical="top" wrapText="1"/>
    </xf>
    <xf numFmtId="169" fontId="79" fillId="31" borderId="11" xfId="48727" applyNumberFormat="1" applyFont="1" applyBorder="1" applyAlignment="1">
      <alignment horizontal="left" vertical="top" wrapText="1"/>
    </xf>
    <xf numFmtId="169" fontId="79" fillId="31" borderId="11" xfId="48727" applyNumberFormat="1" applyFont="1" applyBorder="1" applyAlignment="1">
      <alignment vertical="top" wrapText="1"/>
    </xf>
    <xf numFmtId="169" fontId="76" fillId="0" borderId="76" xfId="7" applyNumberFormat="1" applyFont="1" applyBorder="1"/>
    <xf numFmtId="169" fontId="80" fillId="24" borderId="11" xfId="48728" applyNumberFormat="1" applyFont="1" applyFill="1" applyBorder="1" applyAlignment="1">
      <alignment horizontal="left" vertical="top"/>
    </xf>
    <xf numFmtId="0" fontId="142" fillId="129" borderId="74" xfId="0" applyFont="1" applyFill="1" applyBorder="1" applyAlignment="1">
      <alignment horizontal="right" vertical="center" wrapText="1"/>
    </xf>
    <xf numFmtId="0" fontId="142" fillId="129" borderId="75" xfId="0" applyFont="1" applyFill="1" applyBorder="1" applyAlignment="1">
      <alignment horizontal="right" vertical="center" wrapText="1"/>
    </xf>
    <xf numFmtId="0" fontId="63" fillId="62" borderId="33" xfId="32" applyFont="1" applyFill="1" applyBorder="1" applyAlignment="1" applyProtection="1">
      <alignment horizontal="center" vertical="center"/>
      <protection locked="0"/>
    </xf>
    <xf numFmtId="0" fontId="63" fillId="62" borderId="72" xfId="32" applyFont="1" applyFill="1" applyBorder="1" applyAlignment="1" applyProtection="1">
      <alignment horizontal="center" vertical="center"/>
      <protection locked="0"/>
    </xf>
    <xf numFmtId="0" fontId="63" fillId="62" borderId="34" xfId="32" applyFont="1" applyFill="1" applyBorder="1" applyAlignment="1" applyProtection="1">
      <alignment horizontal="center" vertical="center"/>
      <protection locked="0"/>
    </xf>
    <xf numFmtId="0" fontId="63" fillId="59" borderId="33" xfId="32" applyFont="1" applyFill="1" applyBorder="1" applyAlignment="1">
      <alignment horizontal="center" vertical="center"/>
    </xf>
    <xf numFmtId="0" fontId="63" fillId="59" borderId="72" xfId="32" applyFont="1" applyFill="1" applyBorder="1" applyAlignment="1">
      <alignment horizontal="center" vertical="center"/>
    </xf>
    <xf numFmtId="0" fontId="63" fillId="59" borderId="34" xfId="32" applyFont="1" applyFill="1" applyBorder="1" applyAlignment="1">
      <alignment horizontal="center" vertical="center"/>
    </xf>
    <xf numFmtId="0" fontId="63" fillId="69" borderId="69" xfId="32" applyFont="1" applyFill="1" applyBorder="1" applyAlignment="1">
      <alignment horizontal="center" vertical="center"/>
    </xf>
    <xf numFmtId="0" fontId="63" fillId="69" borderId="70" xfId="32" applyFont="1" applyFill="1" applyBorder="1" applyAlignment="1">
      <alignment horizontal="center" vertical="center"/>
    </xf>
    <xf numFmtId="0" fontId="63" fillId="69" borderId="71" xfId="32" applyFont="1" applyFill="1" applyBorder="1" applyAlignment="1">
      <alignment horizontal="center" vertical="center"/>
    </xf>
    <xf numFmtId="0" fontId="63" fillId="72" borderId="31" xfId="32" applyFont="1" applyFill="1" applyBorder="1" applyAlignment="1">
      <alignment horizontal="center" vertical="center"/>
    </xf>
    <xf numFmtId="0" fontId="63" fillId="72" borderId="32" xfId="32" applyFont="1" applyFill="1" applyBorder="1" applyAlignment="1">
      <alignment horizontal="center" vertical="center"/>
    </xf>
    <xf numFmtId="2" fontId="80" fillId="75" borderId="15" xfId="8" applyNumberFormat="1" applyFont="1" applyFill="1" applyBorder="1" applyAlignment="1">
      <alignment horizontal="center" vertical="center"/>
    </xf>
    <xf numFmtId="2" fontId="80" fillId="75" borderId="16" xfId="8" applyNumberFormat="1" applyFont="1" applyFill="1" applyBorder="1" applyAlignment="1">
      <alignment horizontal="center" vertical="center"/>
    </xf>
    <xf numFmtId="0" fontId="80" fillId="75" borderId="65" xfId="8" applyFont="1" applyFill="1" applyBorder="1" applyAlignment="1">
      <alignment horizontal="center" vertical="top"/>
    </xf>
    <xf numFmtId="0" fontId="80" fillId="75" borderId="11" xfId="8" applyFont="1" applyFill="1" applyBorder="1" applyAlignment="1">
      <alignment horizontal="center" vertical="top"/>
    </xf>
    <xf numFmtId="0" fontId="80" fillId="75" borderId="36" xfId="8" applyFont="1" applyFill="1" applyBorder="1" applyAlignment="1">
      <alignment horizontal="center" vertical="top"/>
    </xf>
    <xf numFmtId="0" fontId="80" fillId="75" borderId="65" xfId="8" applyFont="1" applyFill="1" applyBorder="1" applyAlignment="1">
      <alignment horizontal="center" vertical="center" wrapText="1"/>
    </xf>
    <xf numFmtId="0" fontId="80" fillId="75" borderId="11" xfId="8" applyFont="1" applyFill="1" applyBorder="1" applyAlignment="1">
      <alignment horizontal="center" vertical="center" wrapText="1"/>
    </xf>
    <xf numFmtId="0" fontId="80" fillId="75" borderId="36" xfId="8" applyFont="1" applyFill="1" applyBorder="1" applyAlignment="1">
      <alignment horizontal="center" vertical="center" wrapText="1"/>
    </xf>
    <xf numFmtId="0" fontId="80" fillId="75" borderId="63" xfId="8" applyFont="1" applyFill="1" applyBorder="1" applyAlignment="1">
      <alignment horizontal="center" vertical="center" wrapText="1"/>
    </xf>
  </cellXfs>
  <cellStyles count="48729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5 2" xfId="48727" xr:uid="{1F729B49-6CA9-43FE-BCC2-545CF6F78C56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33 2" xfId="48726" xr:uid="{6A124122-F627-4650-98C5-5580729592F1}"/>
    <cellStyle name="Normal 34 2" xfId="48728" xr:uid="{4297463F-FC07-4DD3-85F4-EF52A5E7E7C5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erasa\TIMES-NZ-Model-Files\TIMES-NZ\VT_SI_ELC_V4.xlsx" TargetMode="External"/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2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D2" s="11" t="s">
        <v>145</v>
      </c>
      <c r="E2" s="11"/>
      <c r="F2" s="2" t="s">
        <v>52</v>
      </c>
      <c r="G2" s="2" t="s">
        <v>71</v>
      </c>
    </row>
    <row r="5" spans="2:29">
      <c r="C5" s="354" t="s">
        <v>709</v>
      </c>
      <c r="D5" t="s">
        <v>725</v>
      </c>
    </row>
    <row r="7" spans="2:29" ht="25.5">
      <c r="C7" s="15" t="s">
        <v>144</v>
      </c>
      <c r="D7" s="405" t="s">
        <v>122</v>
      </c>
      <c r="E7" s="406"/>
      <c r="F7" s="406"/>
      <c r="G7" s="406"/>
      <c r="H7" s="407"/>
      <c r="I7" s="408" t="s">
        <v>123</v>
      </c>
      <c r="J7" s="409"/>
      <c r="K7" s="409"/>
      <c r="L7" s="409"/>
      <c r="M7" s="409"/>
      <c r="N7" s="409"/>
      <c r="O7" s="409"/>
      <c r="P7" s="410"/>
      <c r="Q7" s="16" t="s">
        <v>45</v>
      </c>
      <c r="R7" s="411" t="s">
        <v>124</v>
      </c>
      <c r="S7" s="412"/>
      <c r="T7" s="412"/>
      <c r="U7" s="412"/>
      <c r="V7" s="412"/>
      <c r="W7" s="412"/>
      <c r="X7" s="412"/>
      <c r="Y7" s="413"/>
      <c r="Z7" s="17" t="s">
        <v>58</v>
      </c>
      <c r="AA7" s="18" t="s">
        <v>125</v>
      </c>
      <c r="AB7" s="414" t="s">
        <v>126</v>
      </c>
    </row>
    <row r="8" spans="2:29" ht="38.25">
      <c r="C8" s="19"/>
      <c r="D8" s="20" t="s">
        <v>127</v>
      </c>
      <c r="E8" s="21" t="s">
        <v>128</v>
      </c>
      <c r="F8" s="21" t="s">
        <v>129</v>
      </c>
      <c r="G8" s="21" t="s">
        <v>130</v>
      </c>
      <c r="H8" s="22" t="s">
        <v>122</v>
      </c>
      <c r="I8" s="23" t="s">
        <v>131</v>
      </c>
      <c r="J8" s="23" t="s">
        <v>103</v>
      </c>
      <c r="K8" s="24" t="s">
        <v>132</v>
      </c>
      <c r="L8" s="23" t="s">
        <v>133</v>
      </c>
      <c r="M8" s="23" t="s">
        <v>134</v>
      </c>
      <c r="N8" s="23" t="s">
        <v>135</v>
      </c>
      <c r="O8" s="23" t="s">
        <v>136</v>
      </c>
      <c r="P8" s="25" t="s">
        <v>123</v>
      </c>
      <c r="Q8" s="26" t="s">
        <v>45</v>
      </c>
      <c r="R8" s="23" t="s">
        <v>137</v>
      </c>
      <c r="S8" s="23" t="s">
        <v>138</v>
      </c>
      <c r="T8" s="23" t="s">
        <v>139</v>
      </c>
      <c r="U8" s="23" t="s">
        <v>140</v>
      </c>
      <c r="V8" s="24" t="s">
        <v>141</v>
      </c>
      <c r="W8" s="23" t="s">
        <v>142</v>
      </c>
      <c r="X8" s="177" t="s">
        <v>143</v>
      </c>
      <c r="Y8" s="175" t="s">
        <v>124</v>
      </c>
      <c r="Z8" s="27" t="s">
        <v>46</v>
      </c>
      <c r="AA8" s="28" t="s">
        <v>46</v>
      </c>
      <c r="AB8" s="415"/>
    </row>
    <row r="9" spans="2:29">
      <c r="C9" s="19"/>
      <c r="D9" s="20" t="s">
        <v>42</v>
      </c>
      <c r="E9" s="21" t="s">
        <v>42</v>
      </c>
      <c r="F9" s="21" t="s">
        <v>42</v>
      </c>
      <c r="G9" s="21" t="s">
        <v>146</v>
      </c>
      <c r="H9" s="22" t="s">
        <v>42</v>
      </c>
      <c r="I9" s="23" t="s">
        <v>43</v>
      </c>
      <c r="J9" s="23" t="s">
        <v>103</v>
      </c>
      <c r="K9" s="24" t="s">
        <v>147</v>
      </c>
      <c r="L9" s="23" t="s">
        <v>102</v>
      </c>
      <c r="M9" s="23" t="s">
        <v>148</v>
      </c>
      <c r="N9" s="23" t="s">
        <v>149</v>
      </c>
      <c r="O9" s="23" t="s">
        <v>150</v>
      </c>
      <c r="P9" s="25" t="s">
        <v>43</v>
      </c>
      <c r="Q9" s="26" t="s">
        <v>151</v>
      </c>
      <c r="R9" s="23" t="s">
        <v>109</v>
      </c>
      <c r="S9" s="23" t="s">
        <v>152</v>
      </c>
      <c r="T9" s="23" t="s">
        <v>111</v>
      </c>
      <c r="U9" s="23" t="s">
        <v>110</v>
      </c>
      <c r="V9" s="24" t="s">
        <v>155</v>
      </c>
      <c r="W9" s="23" t="s">
        <v>156</v>
      </c>
      <c r="X9" s="177" t="s">
        <v>153</v>
      </c>
      <c r="Y9" s="173" t="s">
        <v>442</v>
      </c>
      <c r="Z9" s="175"/>
      <c r="AA9" s="27"/>
      <c r="AB9" s="28"/>
      <c r="AC9" s="213"/>
    </row>
    <row r="10" spans="2:29">
      <c r="C10" s="29" t="s">
        <v>117</v>
      </c>
      <c r="D10" s="30">
        <f t="shared" ref="D10:Y10" si="0">SUM(D11:D15)</f>
        <v>-1.3105560599000001</v>
      </c>
      <c r="E10" s="30">
        <f t="shared" si="0"/>
        <v>-32.50949305224546</v>
      </c>
      <c r="F10" s="30">
        <f t="shared" si="0"/>
        <v>-33.820049112145462</v>
      </c>
      <c r="G10" s="30">
        <f t="shared" si="0"/>
        <v>-0.24145673879999999</v>
      </c>
      <c r="H10" s="30">
        <f t="shared" si="0"/>
        <v>-34.061505850945466</v>
      </c>
      <c r="I10" s="30">
        <f t="shared" si="0"/>
        <v>-258.22223384172628</v>
      </c>
      <c r="J10" s="30">
        <f t="shared" si="0"/>
        <v>1.18319961552E-3</v>
      </c>
      <c r="K10" s="30">
        <f t="shared" si="0"/>
        <v>68.156351449010401</v>
      </c>
      <c r="L10" s="30">
        <f t="shared" si="0"/>
        <v>92.841637332667162</v>
      </c>
      <c r="M10" s="30">
        <f t="shared" si="0"/>
        <v>26.257333350831235</v>
      </c>
      <c r="N10" s="30">
        <f t="shared" si="0"/>
        <v>49.767247393831035</v>
      </c>
      <c r="O10" s="30">
        <f t="shared" si="0"/>
        <v>2.8333551234129928</v>
      </c>
      <c r="P10" s="30">
        <f t="shared" si="0"/>
        <v>-18.36512599235795</v>
      </c>
      <c r="Q10" s="30">
        <f t="shared" si="0"/>
        <v>-63.340379198754995</v>
      </c>
      <c r="R10" s="30">
        <f t="shared" si="0"/>
        <v>-88.298963579391511</v>
      </c>
      <c r="S10" s="30">
        <f t="shared" si="0"/>
        <v>-180.25557422091609</v>
      </c>
      <c r="T10" s="30">
        <f t="shared" si="0"/>
        <v>-0.130121663</v>
      </c>
      <c r="U10" s="30">
        <f t="shared" si="0"/>
        <v>-8.5100166220927491</v>
      </c>
      <c r="V10" s="30">
        <f t="shared" si="0"/>
        <v>-0.11662074875</v>
      </c>
      <c r="W10" s="30">
        <f t="shared" si="0"/>
        <v>-3.1272567437644998</v>
      </c>
      <c r="X10" s="176">
        <f t="shared" si="0"/>
        <v>-4.8596680302120001</v>
      </c>
      <c r="Y10" s="172">
        <f t="shared" si="0"/>
        <v>-285.29822160812682</v>
      </c>
      <c r="Z10" s="174">
        <f>SUM(Z11:Z15)</f>
        <v>144.38537259961666</v>
      </c>
      <c r="AA10" s="174">
        <f t="shared" ref="AA10:AB10" si="1">SUM(AA11:AA15)</f>
        <v>-1.25861649486</v>
      </c>
      <c r="AB10" s="174">
        <f t="shared" si="1"/>
        <v>-257.93847654542856</v>
      </c>
      <c r="AC10" s="30">
        <f>SUM(AC11:AC15)</f>
        <v>-246.41</v>
      </c>
    </row>
    <row r="11" spans="2:29" ht="15.75">
      <c r="B11" s="170" t="s">
        <v>44</v>
      </c>
      <c r="C11" s="13" t="s">
        <v>47</v>
      </c>
      <c r="D11" s="306">
        <v>0</v>
      </c>
      <c r="E11" s="306">
        <v>-11.994559842545062</v>
      </c>
      <c r="F11" s="300">
        <v>-11.994559842545062</v>
      </c>
      <c r="G11" s="299">
        <v>0</v>
      </c>
      <c r="H11" s="311">
        <v>-11.994559842545062</v>
      </c>
      <c r="I11" s="301"/>
      <c r="J11" s="301"/>
      <c r="K11" s="301"/>
      <c r="L11" s="301">
        <v>-1.5414131229822227E-2</v>
      </c>
      <c r="M11" s="301">
        <v>0</v>
      </c>
      <c r="N11" s="301"/>
      <c r="O11" s="301"/>
      <c r="P11" s="309">
        <v>-1.5414131229822227E-2</v>
      </c>
      <c r="Q11" s="310">
        <v>-41.044615866529995</v>
      </c>
      <c r="R11" s="301">
        <v>-88.298963579391511</v>
      </c>
      <c r="S11" s="301">
        <v>-178.5515675575561</v>
      </c>
      <c r="T11" s="301">
        <v>-0.130121663</v>
      </c>
      <c r="U11" s="301">
        <v>-8.5100166220927491</v>
      </c>
      <c r="V11" s="301"/>
      <c r="W11" s="301">
        <v>-2.2480943039644998</v>
      </c>
      <c r="X11" s="301"/>
      <c r="Y11" s="302">
        <v>-277.73876372600483</v>
      </c>
      <c r="Z11" s="303">
        <v>150.43046276230751</v>
      </c>
      <c r="AA11" s="305"/>
      <c r="AB11" s="312">
        <v>-180.36289080400218</v>
      </c>
      <c r="AC11" s="31">
        <v>-184.86</v>
      </c>
    </row>
    <row r="12" spans="2:29" ht="15.75">
      <c r="C12" s="13" t="s">
        <v>118</v>
      </c>
      <c r="D12" s="306">
        <v>0</v>
      </c>
      <c r="E12" s="306">
        <v>-7.7412789038958598</v>
      </c>
      <c r="F12" s="300">
        <v>-7.7412789038958598</v>
      </c>
      <c r="G12" s="299">
        <v>-0.21021326999999998</v>
      </c>
      <c r="H12" s="311">
        <v>-7.9514921738958595</v>
      </c>
      <c r="I12" s="301"/>
      <c r="J12" s="301"/>
      <c r="K12" s="301"/>
      <c r="L12" s="301"/>
      <c r="M12" s="301"/>
      <c r="N12" s="301"/>
      <c r="O12" s="301"/>
      <c r="P12" s="309"/>
      <c r="Q12" s="310">
        <v>-15.43186799866298</v>
      </c>
      <c r="R12" s="301"/>
      <c r="S12" s="301">
        <v>-1.70400666336</v>
      </c>
      <c r="T12" s="301"/>
      <c r="U12" s="301"/>
      <c r="V12" s="301"/>
      <c r="W12" s="301">
        <v>-0.87916243979999997</v>
      </c>
      <c r="X12" s="301">
        <v>-4.8596680302120001</v>
      </c>
      <c r="Y12" s="302">
        <v>-7.4428371333720005</v>
      </c>
      <c r="Z12" s="303">
        <v>9.1964099796210004</v>
      </c>
      <c r="AA12" s="304">
        <v>-1.25861649486</v>
      </c>
      <c r="AB12" s="312">
        <v>-22.888403821169838</v>
      </c>
      <c r="AC12" s="31">
        <v>-18.190000000000001</v>
      </c>
    </row>
    <row r="13" spans="2:29" ht="15.75">
      <c r="C13" s="13" t="s">
        <v>119</v>
      </c>
      <c r="D13" s="306"/>
      <c r="E13" s="306"/>
      <c r="F13" s="300"/>
      <c r="G13" s="299"/>
      <c r="H13" s="311"/>
      <c r="I13" s="301">
        <v>-258.22223384172628</v>
      </c>
      <c r="J13" s="301"/>
      <c r="K13" s="301">
        <v>67.936531412429389</v>
      </c>
      <c r="L13" s="301">
        <v>92.600829753533191</v>
      </c>
      <c r="M13" s="301">
        <v>26.10286567073382</v>
      </c>
      <c r="N13" s="301">
        <v>49.784723399749602</v>
      </c>
      <c r="O13" s="301">
        <v>4.64921769532324</v>
      </c>
      <c r="P13" s="309">
        <v>-17.148065909957037</v>
      </c>
      <c r="Q13" s="310">
        <v>0</v>
      </c>
      <c r="R13" s="301"/>
      <c r="S13" s="301"/>
      <c r="T13" s="301"/>
      <c r="U13" s="301"/>
      <c r="V13" s="301">
        <v>-0.11662074875</v>
      </c>
      <c r="W13" s="301"/>
      <c r="X13" s="301"/>
      <c r="Y13" s="302">
        <v>-0.11662074875</v>
      </c>
      <c r="Z13" s="303"/>
      <c r="AA13" s="305"/>
      <c r="AB13" s="312">
        <v>-17.264686658707038</v>
      </c>
      <c r="AC13" s="14">
        <v>-2.2599999999999998</v>
      </c>
    </row>
    <row r="14" spans="2:29" ht="15.75">
      <c r="C14" s="13" t="s">
        <v>120</v>
      </c>
      <c r="D14" s="306">
        <v>0</v>
      </c>
      <c r="E14" s="306">
        <v>-11.839690745404539</v>
      </c>
      <c r="F14" s="300">
        <v>-11.839690745404539</v>
      </c>
      <c r="G14" s="299">
        <v>0</v>
      </c>
      <c r="H14" s="311">
        <v>-11.839690745404539</v>
      </c>
      <c r="I14" s="301"/>
      <c r="J14" s="301"/>
      <c r="K14" s="301"/>
      <c r="L14" s="301"/>
      <c r="M14" s="301"/>
      <c r="N14" s="301"/>
      <c r="O14" s="301"/>
      <c r="P14" s="309"/>
      <c r="Q14" s="310"/>
      <c r="R14" s="301"/>
      <c r="S14" s="301"/>
      <c r="T14" s="301"/>
      <c r="U14" s="301"/>
      <c r="V14" s="301"/>
      <c r="W14" s="301"/>
      <c r="X14" s="301"/>
      <c r="Y14" s="302"/>
      <c r="Z14" s="303"/>
      <c r="AA14" s="305"/>
      <c r="AB14" s="312">
        <v>-11.839690745404539</v>
      </c>
      <c r="AC14" s="14">
        <v>-11.31</v>
      </c>
    </row>
    <row r="15" spans="2:29" ht="16.5" thickBot="1">
      <c r="C15" s="13" t="s">
        <v>121</v>
      </c>
      <c r="D15" s="306">
        <v>-1.3105560599000001</v>
      </c>
      <c r="E15" s="307">
        <v>-0.93396356040000006</v>
      </c>
      <c r="F15" s="306">
        <v>-2.2445196202999997</v>
      </c>
      <c r="G15" s="299">
        <v>-3.12434688E-2</v>
      </c>
      <c r="H15" s="311">
        <v>-2.2757630890999998</v>
      </c>
      <c r="I15" s="308">
        <v>0</v>
      </c>
      <c r="J15" s="301">
        <v>1.18319961552E-3</v>
      </c>
      <c r="K15" s="301">
        <v>0.21982003658100668</v>
      </c>
      <c r="L15" s="301">
        <v>0.25622171036378472</v>
      </c>
      <c r="M15" s="301">
        <v>0.15446768009741346</v>
      </c>
      <c r="N15" s="301">
        <v>-1.7476005918570209E-2</v>
      </c>
      <c r="O15" s="301">
        <v>-1.8158625719102472</v>
      </c>
      <c r="P15" s="309">
        <v>-1.2016459511710926</v>
      </c>
      <c r="Q15" s="310">
        <v>-6.8638953335620201</v>
      </c>
      <c r="R15" s="301"/>
      <c r="S15" s="301"/>
      <c r="T15" s="301"/>
      <c r="U15" s="301"/>
      <c r="V15" s="301"/>
      <c r="W15" s="301"/>
      <c r="X15" s="301"/>
      <c r="Y15" s="302"/>
      <c r="Z15" s="303">
        <v>-15.24150014231185</v>
      </c>
      <c r="AA15" s="305"/>
      <c r="AB15" s="312">
        <v>-25.582804516144961</v>
      </c>
      <c r="AC15" s="32">
        <v>-29.79</v>
      </c>
    </row>
    <row r="16" spans="2:29">
      <c r="C16" s="12"/>
    </row>
    <row r="17" spans="2:26">
      <c r="B17" s="169" t="s">
        <v>73</v>
      </c>
      <c r="C17" s="171" t="s">
        <v>74</v>
      </c>
      <c r="Z17" s="338">
        <f>Z11+Z12</f>
        <v>159.62687274192851</v>
      </c>
    </row>
    <row r="18" spans="2:26">
      <c r="Z18">
        <f>(AI97+AI99+AI100)/1000</f>
        <v>158.91819999999998</v>
      </c>
    </row>
    <row r="19" spans="2:26">
      <c r="Z19" s="337">
        <f>Z17-Z18</f>
        <v>0.70867274192852392</v>
      </c>
    </row>
    <row r="25" spans="2:26">
      <c r="C25" t="s">
        <v>726</v>
      </c>
    </row>
    <row r="28" spans="2:26" ht="42">
      <c r="C28" s="214" t="s">
        <v>510</v>
      </c>
      <c r="D28" s="215"/>
      <c r="E28" s="215"/>
      <c r="F28" s="215"/>
      <c r="G28" s="215"/>
    </row>
    <row r="29" spans="2:26" ht="15">
      <c r="C29" s="216" t="s">
        <v>511</v>
      </c>
      <c r="D29" s="215"/>
      <c r="E29" s="215"/>
      <c r="F29" s="215"/>
      <c r="G29" s="215"/>
    </row>
    <row r="30" spans="2:26" ht="15">
      <c r="C30" s="217" t="s">
        <v>512</v>
      </c>
      <c r="D30" s="218">
        <v>2014</v>
      </c>
      <c r="E30" s="218">
        <v>2015</v>
      </c>
      <c r="F30" s="218">
        <v>2016</v>
      </c>
      <c r="G30" s="218">
        <v>2017</v>
      </c>
    </row>
    <row r="31" spans="2:26" ht="15">
      <c r="C31" s="219"/>
      <c r="D31" s="220"/>
      <c r="E31" s="220"/>
      <c r="F31" s="220"/>
      <c r="G31" s="220"/>
    </row>
    <row r="32" spans="2:26" ht="15">
      <c r="C32" s="216" t="s">
        <v>513</v>
      </c>
      <c r="D32" s="250">
        <f t="shared" ref="D32:F32" si="2">SUM(D34:D42)</f>
        <v>355.53697729166799</v>
      </c>
      <c r="E32" s="250">
        <f t="shared" si="2"/>
        <v>365.19883892736146</v>
      </c>
      <c r="F32" s="250">
        <f t="shared" si="2"/>
        <v>367.49140258295353</v>
      </c>
      <c r="G32" s="250">
        <f>SUM(G34:G42)</f>
        <v>369.06030699649398</v>
      </c>
    </row>
    <row r="33" spans="3:7" ht="15">
      <c r="C33" s="221" t="s">
        <v>514</v>
      </c>
      <c r="D33" s="251">
        <f t="shared" ref="D33:G33" si="3">SUM(D34:D40)</f>
        <v>355.50106170231436</v>
      </c>
      <c r="E33" s="251">
        <f t="shared" si="3"/>
        <v>365.15945337603068</v>
      </c>
      <c r="F33" s="251">
        <f t="shared" si="3"/>
        <v>367.49140258295353</v>
      </c>
      <c r="G33" s="251">
        <f t="shared" si="3"/>
        <v>369.04108874554339</v>
      </c>
    </row>
    <row r="34" spans="3:7" ht="15">
      <c r="C34" s="222" t="s">
        <v>137</v>
      </c>
      <c r="D34" s="252">
        <v>87.581337333254453</v>
      </c>
      <c r="E34" s="252">
        <v>88.331705657636704</v>
      </c>
      <c r="F34" s="252">
        <v>93.318641788383985</v>
      </c>
      <c r="G34" s="252">
        <v>90.659003745571454</v>
      </c>
    </row>
    <row r="35" spans="3:7" ht="15">
      <c r="C35" s="223" t="s">
        <v>138</v>
      </c>
      <c r="D35" s="252">
        <v>197.49437609422216</v>
      </c>
      <c r="E35" s="252">
        <v>205.05591789245258</v>
      </c>
      <c r="F35" s="252">
        <v>202.77263032208927</v>
      </c>
      <c r="G35" s="252">
        <v>204.47931935029925</v>
      </c>
    </row>
    <row r="36" spans="3:7" ht="15">
      <c r="C36" s="223" t="s">
        <v>139</v>
      </c>
      <c r="D36" s="252">
        <v>0.42862272275199997</v>
      </c>
      <c r="E36" s="252">
        <v>0.49065099865600004</v>
      </c>
      <c r="F36" s="252">
        <v>0.56140149452800003</v>
      </c>
      <c r="G36" s="252">
        <v>0.630451425856</v>
      </c>
    </row>
    <row r="37" spans="3:7" ht="15">
      <c r="C37" s="223" t="s">
        <v>140</v>
      </c>
      <c r="D37" s="252">
        <v>7.959339080118589</v>
      </c>
      <c r="E37" s="252">
        <v>8.4723843080510743</v>
      </c>
      <c r="F37" s="252">
        <v>8.3023865797895606</v>
      </c>
      <c r="G37" s="252">
        <v>7.7075258423376063</v>
      </c>
    </row>
    <row r="38" spans="3:7" ht="15">
      <c r="C38" s="223" t="s">
        <v>142</v>
      </c>
      <c r="D38" s="252">
        <v>3.2552199877718131</v>
      </c>
      <c r="E38" s="252">
        <v>3.4629250590157001</v>
      </c>
      <c r="F38" s="252">
        <v>3.6698294453995501</v>
      </c>
      <c r="G38" s="252">
        <v>3.6598676729833972</v>
      </c>
    </row>
    <row r="39" spans="3:7" ht="15">
      <c r="C39" s="223" t="s">
        <v>515</v>
      </c>
      <c r="D39" s="252">
        <v>58.674550148348999</v>
      </c>
      <c r="E39" s="252">
        <v>59.25921807894948</v>
      </c>
      <c r="F39" s="252">
        <v>58.736751136463106</v>
      </c>
      <c r="G39" s="252">
        <v>61.822716338896264</v>
      </c>
    </row>
    <row r="40" spans="3:7" ht="15">
      <c r="C40" s="223" t="s">
        <v>141</v>
      </c>
      <c r="D40" s="252">
        <f t="shared" ref="D40:G40" si="4">D55-D42</f>
        <v>0.10761633584638786</v>
      </c>
      <c r="E40" s="252">
        <f t="shared" si="4"/>
        <v>8.6651381269201522E-2</v>
      </c>
      <c r="F40" s="252">
        <f t="shared" si="4"/>
        <v>0.1297618163</v>
      </c>
      <c r="G40" s="252">
        <f t="shared" si="4"/>
        <v>8.2204369599429672E-2</v>
      </c>
    </row>
    <row r="41" spans="3:7" ht="15">
      <c r="C41" s="221" t="s">
        <v>516</v>
      </c>
      <c r="D41" s="252"/>
      <c r="E41" s="252"/>
      <c r="F41" s="252"/>
      <c r="G41" s="252"/>
    </row>
    <row r="42" spans="3:7" ht="15">
      <c r="C42" s="223" t="s">
        <v>141</v>
      </c>
      <c r="D42" s="252">
        <v>3.5915589353612165E-2</v>
      </c>
      <c r="E42" s="252">
        <v>3.9385551330798484E-2</v>
      </c>
      <c r="F42" s="252">
        <v>0</v>
      </c>
      <c r="G42" s="252">
        <v>1.9218250950570344E-2</v>
      </c>
    </row>
    <row r="43" spans="3:7" ht="15">
      <c r="C43" s="224" t="s">
        <v>517</v>
      </c>
      <c r="D43" s="252">
        <v>0.39373029441018459</v>
      </c>
      <c r="E43" s="252">
        <v>0.40237191733600924</v>
      </c>
      <c r="F43" s="252">
        <v>0.40549667599228778</v>
      </c>
      <c r="G43" s="252">
        <v>0.4192949691823934</v>
      </c>
    </row>
    <row r="44" spans="3:7" ht="15">
      <c r="C44" s="225"/>
      <c r="D44" s="251"/>
      <c r="E44" s="251"/>
      <c r="F44" s="251"/>
      <c r="G44" s="251"/>
    </row>
    <row r="45" spans="3:7" ht="15">
      <c r="C45" s="216" t="s">
        <v>518</v>
      </c>
      <c r="D45" s="250">
        <f t="shared" ref="D45:F45" si="5">SUM(D46:D55)+D55</f>
        <v>293.03450535855887</v>
      </c>
      <c r="E45" s="250">
        <f t="shared" si="5"/>
        <v>301.86402060390748</v>
      </c>
      <c r="F45" s="250">
        <f t="shared" si="5"/>
        <v>304.54881307394913</v>
      </c>
      <c r="G45" s="250">
        <f>SUM(G46:G55)+G55</f>
        <v>302.61330734979219</v>
      </c>
    </row>
    <row r="46" spans="3:7" ht="15">
      <c r="C46" s="222" t="s">
        <v>137</v>
      </c>
      <c r="D46" s="252">
        <v>87.581337333254453</v>
      </c>
      <c r="E46" s="252">
        <v>88.331705657636704</v>
      </c>
      <c r="F46" s="252">
        <v>93.318641788383985</v>
      </c>
      <c r="G46" s="252">
        <v>90.659003745571454</v>
      </c>
    </row>
    <row r="47" spans="3:7" ht="15">
      <c r="C47" s="223" t="s">
        <v>138</v>
      </c>
      <c r="D47" s="252">
        <v>187.48100383512798</v>
      </c>
      <c r="E47" s="252">
        <v>194.76407130513599</v>
      </c>
      <c r="F47" s="252">
        <v>192.48757902980802</v>
      </c>
      <c r="G47" s="252">
        <v>194.29797921941122</v>
      </c>
    </row>
    <row r="48" spans="3:7" ht="15">
      <c r="C48" s="223" t="s">
        <v>140</v>
      </c>
      <c r="D48" s="252">
        <v>7.959339080118589</v>
      </c>
      <c r="E48" s="252">
        <v>8.4723843080510743</v>
      </c>
      <c r="F48" s="252">
        <v>8.3023865797895606</v>
      </c>
      <c r="G48" s="252">
        <v>7.7075258423376063</v>
      </c>
    </row>
    <row r="49" spans="3:7" ht="15">
      <c r="C49" s="223" t="s">
        <v>142</v>
      </c>
      <c r="D49" s="252">
        <v>2.1162496555587</v>
      </c>
      <c r="E49" s="252">
        <v>2.2535009792157004</v>
      </c>
      <c r="F49" s="252">
        <v>2.3303345605995505</v>
      </c>
      <c r="G49" s="252">
        <v>2.446703788812381</v>
      </c>
    </row>
    <row r="50" spans="3:7" ht="15">
      <c r="C50" s="223" t="s">
        <v>139</v>
      </c>
      <c r="D50" s="252">
        <v>6.4622722752000011E-2</v>
      </c>
      <c r="E50" s="252">
        <v>0.12665099865600002</v>
      </c>
      <c r="F50" s="252">
        <v>0.19740149452800004</v>
      </c>
      <c r="G50" s="252">
        <v>0.26645142585600001</v>
      </c>
    </row>
    <row r="51" spans="3:7" ht="15">
      <c r="C51" s="223" t="s">
        <v>138</v>
      </c>
      <c r="D51" s="252">
        <v>1.70747170584</v>
      </c>
      <c r="E51" s="252">
        <v>1.9248031199999998</v>
      </c>
      <c r="F51" s="252">
        <v>1.99686192</v>
      </c>
      <c r="G51" s="252">
        <v>1.99686192</v>
      </c>
    </row>
    <row r="52" spans="3:7" ht="15">
      <c r="C52" s="226" t="s">
        <v>519</v>
      </c>
      <c r="D52" s="253">
        <v>1.4943201630000003E-2</v>
      </c>
      <c r="E52" s="253">
        <v>3.2063406000000003E-2</v>
      </c>
      <c r="F52" s="253">
        <v>4.15153152E-2</v>
      </c>
      <c r="G52" s="253">
        <v>4.2885600000000003E-2</v>
      </c>
    </row>
    <row r="53" spans="3:7" ht="15">
      <c r="C53" s="226" t="s">
        <v>520</v>
      </c>
      <c r="D53" s="253">
        <v>0.79376549058311285</v>
      </c>
      <c r="E53" s="253">
        <v>0.84709903379999996</v>
      </c>
      <c r="F53" s="253">
        <v>0.96771792960000014</v>
      </c>
      <c r="G53" s="253">
        <v>0.84001664417101651</v>
      </c>
    </row>
    <row r="54" spans="3:7" ht="15">
      <c r="C54" s="223" t="s">
        <v>515</v>
      </c>
      <c r="D54" s="252">
        <v>5.0287084832940003</v>
      </c>
      <c r="E54" s="252">
        <v>4.8596679302119998</v>
      </c>
      <c r="F54" s="252">
        <v>4.6468508234400003</v>
      </c>
      <c r="G54" s="252">
        <v>4.153033922532444</v>
      </c>
    </row>
    <row r="55" spans="3:7" ht="17.25">
      <c r="C55" s="227" t="s">
        <v>521</v>
      </c>
      <c r="D55" s="251">
        <f t="shared" ref="D55:G55" si="6">SUM(D56:D57)</f>
        <v>0.14353192520000002</v>
      </c>
      <c r="E55" s="251">
        <f t="shared" si="6"/>
        <v>0.12603693260000001</v>
      </c>
      <c r="F55" s="251">
        <f t="shared" si="6"/>
        <v>0.1297618163</v>
      </c>
      <c r="G55" s="251">
        <f t="shared" si="6"/>
        <v>0.10142262055000001</v>
      </c>
    </row>
    <row r="56" spans="3:7" ht="15">
      <c r="C56" s="226" t="s">
        <v>522</v>
      </c>
      <c r="D56" s="252">
        <v>0.11192390820000001</v>
      </c>
      <c r="E56" s="252">
        <v>0.10655948160000001</v>
      </c>
      <c r="F56" s="252">
        <v>0.11332297080000001</v>
      </c>
      <c r="G56" s="252">
        <v>8.517241980000001E-2</v>
      </c>
    </row>
    <row r="57" spans="3:7" ht="15">
      <c r="C57" s="226" t="s">
        <v>523</v>
      </c>
      <c r="D57" s="252">
        <v>3.1608017000000009E-2</v>
      </c>
      <c r="E57" s="252">
        <v>1.9477451E-2</v>
      </c>
      <c r="F57" s="252">
        <v>1.64388455E-2</v>
      </c>
      <c r="G57" s="252">
        <v>1.6250200750000002E-2</v>
      </c>
    </row>
    <row r="58" spans="3:7" ht="15">
      <c r="C58" s="228"/>
      <c r="D58" s="252"/>
      <c r="E58" s="252"/>
      <c r="F58" s="252"/>
      <c r="G58" s="252"/>
    </row>
    <row r="59" spans="3:7" ht="17.25">
      <c r="C59" s="229" t="s">
        <v>524</v>
      </c>
      <c r="D59" s="250">
        <f t="shared" ref="D59:F59" si="7">SUM(D60:D63)</f>
        <v>62.646003858309186</v>
      </c>
      <c r="E59" s="250">
        <f t="shared" si="7"/>
        <v>63.460855256054082</v>
      </c>
      <c r="F59" s="250">
        <f t="shared" si="7"/>
        <v>63.072351325304361</v>
      </c>
      <c r="G59" s="250">
        <f>SUM(G60:G63)</f>
        <v>66.54842226725188</v>
      </c>
    </row>
    <row r="60" spans="3:7" ht="15">
      <c r="C60" s="227" t="s">
        <v>525</v>
      </c>
      <c r="D60" s="251">
        <v>0.7380390888344166</v>
      </c>
      <c r="E60" s="251">
        <v>0.69774949983441659</v>
      </c>
      <c r="F60" s="251">
        <v>0.65745991083441668</v>
      </c>
      <c r="G60" s="251">
        <v>0.68129318883441659</v>
      </c>
    </row>
    <row r="61" spans="3:7" ht="17.25">
      <c r="C61" s="227" t="s">
        <v>526</v>
      </c>
      <c r="D61" s="251">
        <v>50.043099452813948</v>
      </c>
      <c r="E61" s="251">
        <v>50.817949496375832</v>
      </c>
      <c r="F61" s="251">
        <v>50.379248657265549</v>
      </c>
      <c r="G61" s="251">
        <v>53.758759549292414</v>
      </c>
    </row>
    <row r="62" spans="3:7" ht="15">
      <c r="C62" s="227" t="s">
        <v>527</v>
      </c>
      <c r="D62" s="251">
        <v>2.8375547170170998</v>
      </c>
      <c r="E62" s="251">
        <v>2.8263374146805988</v>
      </c>
      <c r="F62" s="251">
        <v>2.8151201123440996</v>
      </c>
      <c r="G62" s="251">
        <v>2.7758216593508989</v>
      </c>
    </row>
    <row r="63" spans="3:7" ht="15">
      <c r="C63" s="227" t="s">
        <v>420</v>
      </c>
      <c r="D63" s="251">
        <v>9.0273105996437195</v>
      </c>
      <c r="E63" s="251">
        <v>9.1188188451632328</v>
      </c>
      <c r="F63" s="251">
        <v>9.2205226448602975</v>
      </c>
      <c r="G63" s="251">
        <v>9.332547869774146</v>
      </c>
    </row>
    <row r="70" spans="3:8">
      <c r="C70" t="s">
        <v>726</v>
      </c>
    </row>
    <row r="72" spans="3:8" ht="15.75">
      <c r="C72" s="230" t="s">
        <v>528</v>
      </c>
      <c r="D72" s="231"/>
      <c r="E72" s="231"/>
      <c r="F72" s="231"/>
      <c r="G72" s="231"/>
      <c r="H72" s="231"/>
    </row>
    <row r="73" spans="3:8">
      <c r="C73" s="231"/>
      <c r="D73" s="231"/>
      <c r="E73" s="231"/>
      <c r="F73" s="231"/>
      <c r="G73" s="231"/>
      <c r="H73" s="231"/>
    </row>
    <row r="74" spans="3:8" ht="27">
      <c r="C74" s="232"/>
      <c r="D74" s="233" t="s">
        <v>529</v>
      </c>
      <c r="E74" s="234" t="s">
        <v>139</v>
      </c>
      <c r="F74" s="235" t="s">
        <v>142</v>
      </c>
      <c r="G74" s="233" t="s">
        <v>530</v>
      </c>
      <c r="H74" s="236" t="s">
        <v>531</v>
      </c>
    </row>
    <row r="75" spans="3:8">
      <c r="C75" s="237"/>
      <c r="D75" s="238"/>
      <c r="E75" s="239"/>
      <c r="F75" s="240"/>
      <c r="G75" s="240"/>
      <c r="H75" s="241"/>
    </row>
    <row r="76" spans="3:8">
      <c r="C76" s="242" t="s">
        <v>532</v>
      </c>
      <c r="D76" s="243">
        <v>0.68129318883441659</v>
      </c>
      <c r="E76" s="243">
        <v>0</v>
      </c>
      <c r="F76" s="244">
        <v>0</v>
      </c>
      <c r="G76" s="244">
        <v>0</v>
      </c>
      <c r="H76" s="241">
        <f>SUM(D76:G76)</f>
        <v>0.68129318883441659</v>
      </c>
    </row>
    <row r="77" spans="3:8">
      <c r="C77" s="242" t="s">
        <v>533</v>
      </c>
      <c r="D77" s="243">
        <v>4.7324764304000002</v>
      </c>
      <c r="E77" s="243">
        <v>0</v>
      </c>
      <c r="F77" s="244">
        <v>5.026164000000001E-2</v>
      </c>
      <c r="G77" s="244">
        <v>48.976021478892413</v>
      </c>
      <c r="H77" s="241">
        <f>SUM(D77:G77)</f>
        <v>53.758759549292414</v>
      </c>
    </row>
    <row r="78" spans="3:8">
      <c r="C78" s="242" t="s">
        <v>534</v>
      </c>
      <c r="D78" s="243">
        <v>2.4958216593508991</v>
      </c>
      <c r="E78" s="243">
        <v>0</v>
      </c>
      <c r="F78" s="244">
        <v>0.28000000000000003</v>
      </c>
      <c r="G78" s="244">
        <v>0</v>
      </c>
      <c r="H78" s="241">
        <f>SUM(D78:G78)</f>
        <v>2.7758216593508989</v>
      </c>
    </row>
    <row r="79" spans="3:8">
      <c r="C79" s="242" t="s">
        <v>420</v>
      </c>
      <c r="D79" s="243">
        <v>0.27488693230273598</v>
      </c>
      <c r="E79" s="243">
        <v>0.36399999999999999</v>
      </c>
      <c r="F79" s="244">
        <v>0</v>
      </c>
      <c r="G79" s="244">
        <v>8.6936609374714084</v>
      </c>
      <c r="H79" s="241">
        <f>SUM(D79:G79)</f>
        <v>9.3325478697741442</v>
      </c>
    </row>
    <row r="80" spans="3:8">
      <c r="C80" s="245"/>
      <c r="D80" s="246"/>
      <c r="E80" s="247"/>
      <c r="F80" s="248"/>
      <c r="G80" s="248"/>
      <c r="H80" s="249">
        <f>SUM(H76:H79)</f>
        <v>66.548422267251865</v>
      </c>
    </row>
    <row r="83" spans="3:46">
      <c r="C83" t="s">
        <v>727</v>
      </c>
    </row>
    <row r="85" spans="3:46" ht="42">
      <c r="C85" s="403" t="s">
        <v>546</v>
      </c>
      <c r="D85" s="404"/>
      <c r="E85" s="321" t="s">
        <v>547</v>
      </c>
      <c r="F85" s="321" t="s">
        <v>548</v>
      </c>
      <c r="G85" s="321" t="s">
        <v>549</v>
      </c>
      <c r="H85" s="321" t="s">
        <v>130</v>
      </c>
      <c r="I85" s="321" t="s">
        <v>550</v>
      </c>
      <c r="J85" s="321" t="s">
        <v>551</v>
      </c>
      <c r="K85" s="321" t="s">
        <v>552</v>
      </c>
      <c r="L85" s="321" t="s">
        <v>553</v>
      </c>
      <c r="M85" s="321" t="s">
        <v>554</v>
      </c>
      <c r="N85" s="321" t="s">
        <v>555</v>
      </c>
      <c r="O85" s="321" t="s">
        <v>556</v>
      </c>
      <c r="P85" s="321" t="s">
        <v>557</v>
      </c>
      <c r="Q85" s="321" t="s">
        <v>558</v>
      </c>
      <c r="R85" s="321" t="s">
        <v>559</v>
      </c>
      <c r="S85" s="321" t="s">
        <v>560</v>
      </c>
      <c r="T85" s="321" t="s">
        <v>561</v>
      </c>
      <c r="U85" s="321" t="s">
        <v>562</v>
      </c>
      <c r="V85" s="321" t="s">
        <v>563</v>
      </c>
      <c r="W85" s="321" t="s">
        <v>564</v>
      </c>
      <c r="X85" s="321" t="s">
        <v>565</v>
      </c>
      <c r="Y85" s="321" t="s">
        <v>566</v>
      </c>
      <c r="Z85" s="321" t="s">
        <v>567</v>
      </c>
      <c r="AA85" s="321" t="s">
        <v>568</v>
      </c>
      <c r="AB85" s="321" t="s">
        <v>569</v>
      </c>
      <c r="AC85" s="321" t="s">
        <v>137</v>
      </c>
      <c r="AD85" s="321" t="s">
        <v>138</v>
      </c>
      <c r="AE85" s="321" t="s">
        <v>570</v>
      </c>
      <c r="AF85" s="321" t="s">
        <v>571</v>
      </c>
      <c r="AG85" s="321" t="s">
        <v>140</v>
      </c>
      <c r="AH85" s="321" t="s">
        <v>572</v>
      </c>
      <c r="AI85" s="321" t="s">
        <v>58</v>
      </c>
      <c r="AJ85" s="321" t="s">
        <v>573</v>
      </c>
      <c r="AK85" s="321" t="s">
        <v>46</v>
      </c>
      <c r="AL85" s="321" t="s">
        <v>574</v>
      </c>
      <c r="AM85" s="321" t="s">
        <v>575</v>
      </c>
      <c r="AN85" s="321" t="s">
        <v>576</v>
      </c>
      <c r="AO85" s="321" t="s">
        <v>577</v>
      </c>
      <c r="AP85" s="321" t="s">
        <v>578</v>
      </c>
      <c r="AQ85" s="321" t="s">
        <v>579</v>
      </c>
      <c r="AR85" s="321" t="s">
        <v>580</v>
      </c>
      <c r="AS85" s="321" t="s">
        <v>581</v>
      </c>
      <c r="AT85" s="321" t="s">
        <v>582</v>
      </c>
    </row>
    <row r="86" spans="3:46" ht="13.5">
      <c r="C86" s="322" t="s">
        <v>583</v>
      </c>
      <c r="D86" s="323" t="s">
        <v>584</v>
      </c>
      <c r="E86" s="323" t="s">
        <v>584</v>
      </c>
      <c r="F86" s="323" t="s">
        <v>584</v>
      </c>
      <c r="G86" s="323" t="s">
        <v>584</v>
      </c>
      <c r="H86" s="323" t="s">
        <v>584</v>
      </c>
      <c r="I86" s="323" t="s">
        <v>584</v>
      </c>
      <c r="J86" s="323" t="s">
        <v>584</v>
      </c>
      <c r="K86" s="323" t="s">
        <v>584</v>
      </c>
      <c r="L86" s="323" t="s">
        <v>584</v>
      </c>
      <c r="M86" s="323" t="s">
        <v>584</v>
      </c>
      <c r="N86" s="323" t="s">
        <v>584</v>
      </c>
      <c r="O86" s="323" t="s">
        <v>584</v>
      </c>
      <c r="P86" s="323" t="s">
        <v>584</v>
      </c>
      <c r="Q86" s="323" t="s">
        <v>584</v>
      </c>
      <c r="R86" s="323" t="s">
        <v>584</v>
      </c>
      <c r="S86" s="323" t="s">
        <v>584</v>
      </c>
      <c r="T86" s="323" t="s">
        <v>584</v>
      </c>
      <c r="U86" s="323" t="s">
        <v>584</v>
      </c>
      <c r="V86" s="323" t="s">
        <v>584</v>
      </c>
      <c r="W86" s="323" t="s">
        <v>584</v>
      </c>
      <c r="X86" s="323" t="s">
        <v>584</v>
      </c>
      <c r="Y86" s="323" t="s">
        <v>584</v>
      </c>
      <c r="Z86" s="323" t="s">
        <v>584</v>
      </c>
      <c r="AA86" s="323" t="s">
        <v>584</v>
      </c>
      <c r="AB86" s="323" t="s">
        <v>584</v>
      </c>
      <c r="AC86" s="323" t="s">
        <v>584</v>
      </c>
      <c r="AD86" s="323" t="s">
        <v>584</v>
      </c>
      <c r="AE86" s="323" t="s">
        <v>584</v>
      </c>
      <c r="AF86" s="323" t="s">
        <v>584</v>
      </c>
      <c r="AG86" s="323" t="s">
        <v>584</v>
      </c>
      <c r="AH86" s="323" t="s">
        <v>584</v>
      </c>
      <c r="AI86" s="323" t="s">
        <v>584</v>
      </c>
      <c r="AJ86" s="323" t="s">
        <v>584</v>
      </c>
      <c r="AK86" s="323" t="s">
        <v>584</v>
      </c>
      <c r="AL86" s="323" t="s">
        <v>584</v>
      </c>
      <c r="AM86" s="323" t="s">
        <v>584</v>
      </c>
      <c r="AN86" s="323" t="s">
        <v>584</v>
      </c>
      <c r="AO86" s="323" t="s">
        <v>584</v>
      </c>
      <c r="AP86" s="323" t="s">
        <v>584</v>
      </c>
      <c r="AQ86" s="323" t="s">
        <v>584</v>
      </c>
      <c r="AR86" s="323" t="s">
        <v>584</v>
      </c>
      <c r="AS86" s="323" t="s">
        <v>584</v>
      </c>
      <c r="AT86" s="323" t="s">
        <v>584</v>
      </c>
    </row>
    <row r="87" spans="3:46" ht="13.5">
      <c r="C87" s="324" t="s">
        <v>585</v>
      </c>
      <c r="D87" s="323" t="s">
        <v>584</v>
      </c>
      <c r="E87" s="325">
        <v>40216.6</v>
      </c>
      <c r="F87" s="325">
        <v>1855.34</v>
      </c>
      <c r="G87" s="325">
        <v>34256.269999999997</v>
      </c>
      <c r="H87" s="325">
        <v>4695.75</v>
      </c>
      <c r="I87" s="325">
        <v>0</v>
      </c>
      <c r="J87" s="325">
        <v>0</v>
      </c>
      <c r="K87" s="325">
        <v>0</v>
      </c>
      <c r="L87" s="325">
        <v>118.61</v>
      </c>
      <c r="M87" s="325">
        <v>169247.12</v>
      </c>
      <c r="N87" s="325" t="s">
        <v>586</v>
      </c>
      <c r="O87" s="325">
        <v>81012.53</v>
      </c>
      <c r="P87" s="325">
        <v>9388.98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88341.9</v>
      </c>
      <c r="AD87" s="325">
        <v>203773.82</v>
      </c>
      <c r="AE87" s="325">
        <v>122.42</v>
      </c>
      <c r="AF87" s="325">
        <v>363.92</v>
      </c>
      <c r="AG87" s="325">
        <v>8483.1299999999992</v>
      </c>
      <c r="AH87" s="325">
        <v>1567.96</v>
      </c>
      <c r="AI87" s="325">
        <v>0</v>
      </c>
      <c r="AJ87" s="325">
        <v>0</v>
      </c>
      <c r="AK87" s="325">
        <v>692521.88</v>
      </c>
      <c r="AL87" s="325">
        <v>350281.34</v>
      </c>
      <c r="AM87" s="325">
        <v>0</v>
      </c>
      <c r="AN87" s="325">
        <v>0</v>
      </c>
      <c r="AO87" s="325">
        <v>0</v>
      </c>
      <c r="AP87" s="325">
        <v>0</v>
      </c>
      <c r="AQ87" s="325">
        <v>0</v>
      </c>
      <c r="AR87" s="325">
        <v>0</v>
      </c>
      <c r="AS87" s="325">
        <v>46138.12</v>
      </c>
      <c r="AT87" s="325">
        <v>2939.43</v>
      </c>
    </row>
    <row r="88" spans="3:46" ht="13.5">
      <c r="C88" s="324" t="s">
        <v>516</v>
      </c>
      <c r="D88" s="323" t="s">
        <v>584</v>
      </c>
      <c r="E88" s="326">
        <v>0</v>
      </c>
      <c r="F88" s="326">
        <v>871.44</v>
      </c>
      <c r="G88" s="326">
        <v>8327.6299999999992</v>
      </c>
      <c r="H88" s="326">
        <v>0</v>
      </c>
      <c r="I88" s="326">
        <v>0</v>
      </c>
      <c r="J88" s="326">
        <v>0</v>
      </c>
      <c r="K88" s="326">
        <v>0</v>
      </c>
      <c r="L88" s="326">
        <v>0</v>
      </c>
      <c r="M88" s="326">
        <v>0</v>
      </c>
      <c r="N88" s="326" t="s">
        <v>586</v>
      </c>
      <c r="O88" s="326">
        <v>218980.86</v>
      </c>
      <c r="P88" s="326">
        <v>0</v>
      </c>
      <c r="Q88" s="326">
        <v>9025.9500000000007</v>
      </c>
      <c r="R88" s="326">
        <v>0</v>
      </c>
      <c r="S88" s="326">
        <v>381.58</v>
      </c>
      <c r="T88" s="326">
        <v>356.8</v>
      </c>
      <c r="U88" s="326">
        <v>0</v>
      </c>
      <c r="V88" s="326">
        <v>0</v>
      </c>
      <c r="W88" s="326">
        <v>0</v>
      </c>
      <c r="X88" s="326">
        <v>257.99</v>
      </c>
      <c r="Y88" s="326">
        <v>3818.11</v>
      </c>
      <c r="Z88" s="326">
        <v>2095.1999999999998</v>
      </c>
      <c r="AA88" s="326">
        <v>3548.98</v>
      </c>
      <c r="AB88" s="326">
        <v>0</v>
      </c>
      <c r="AC88" s="326">
        <v>0</v>
      </c>
      <c r="AD88" s="326">
        <v>0</v>
      </c>
      <c r="AE88" s="326">
        <v>0</v>
      </c>
      <c r="AF88" s="326">
        <v>0</v>
      </c>
      <c r="AG88" s="326">
        <v>0</v>
      </c>
      <c r="AH88" s="326">
        <v>0</v>
      </c>
      <c r="AI88" s="326">
        <v>0</v>
      </c>
      <c r="AJ88" s="326">
        <v>0</v>
      </c>
      <c r="AK88" s="326">
        <v>328520.15000000002</v>
      </c>
      <c r="AL88" s="326">
        <v>0</v>
      </c>
      <c r="AM88" s="326">
        <v>0</v>
      </c>
      <c r="AN88" s="326">
        <v>0</v>
      </c>
      <c r="AO88" s="326">
        <v>0</v>
      </c>
      <c r="AP88" s="326">
        <v>46874.62</v>
      </c>
      <c r="AQ88" s="326">
        <v>2670.01</v>
      </c>
      <c r="AR88" s="326">
        <v>31310.98</v>
      </c>
      <c r="AS88" s="326">
        <v>0</v>
      </c>
      <c r="AT88" s="326">
        <v>0</v>
      </c>
    </row>
    <row r="89" spans="3:46" ht="13.5">
      <c r="C89" s="324" t="s">
        <v>587</v>
      </c>
      <c r="D89" s="323" t="s">
        <v>584</v>
      </c>
      <c r="E89" s="325">
        <v>-40005.42</v>
      </c>
      <c r="F89" s="325">
        <v>0</v>
      </c>
      <c r="G89" s="325">
        <v>-884.17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 t="s">
        <v>586</v>
      </c>
      <c r="O89" s="325">
        <v>-75118.23</v>
      </c>
      <c r="P89" s="325">
        <v>-410.93</v>
      </c>
      <c r="Q89" s="325">
        <v>0</v>
      </c>
      <c r="R89" s="325">
        <v>0</v>
      </c>
      <c r="S89" s="325">
        <v>-1860.32</v>
      </c>
      <c r="T89" s="325">
        <v>0</v>
      </c>
      <c r="U89" s="325">
        <v>0</v>
      </c>
      <c r="V89" s="325">
        <v>0</v>
      </c>
      <c r="W89" s="325">
        <v>-5452.8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-124626.47</v>
      </c>
      <c r="AL89" s="325">
        <v>0</v>
      </c>
      <c r="AM89" s="325">
        <v>0</v>
      </c>
      <c r="AN89" s="325">
        <v>0</v>
      </c>
      <c r="AO89" s="325">
        <v>0</v>
      </c>
      <c r="AP89" s="325">
        <v>0</v>
      </c>
      <c r="AQ89" s="325">
        <v>0</v>
      </c>
      <c r="AR89" s="325">
        <v>-894.59</v>
      </c>
      <c r="AS89" s="325">
        <v>0</v>
      </c>
      <c r="AT89" s="325">
        <v>0</v>
      </c>
    </row>
    <row r="90" spans="3:46" ht="13.5">
      <c r="C90" s="324" t="s">
        <v>588</v>
      </c>
      <c r="D90" s="323" t="s">
        <v>584</v>
      </c>
      <c r="E90" s="326">
        <v>0</v>
      </c>
      <c r="F90" s="326">
        <v>0</v>
      </c>
      <c r="G90" s="326">
        <v>0</v>
      </c>
      <c r="H90" s="326">
        <v>0</v>
      </c>
      <c r="I90" s="326">
        <v>0</v>
      </c>
      <c r="J90" s="326">
        <v>0</v>
      </c>
      <c r="K90" s="326">
        <v>0</v>
      </c>
      <c r="L90" s="326">
        <v>0</v>
      </c>
      <c r="M90" s="326">
        <v>0</v>
      </c>
      <c r="N90" s="326" t="s">
        <v>586</v>
      </c>
      <c r="O90" s="326">
        <v>0</v>
      </c>
      <c r="P90" s="326">
        <v>0</v>
      </c>
      <c r="Q90" s="326">
        <v>0</v>
      </c>
      <c r="R90" s="326">
        <v>0</v>
      </c>
      <c r="S90" s="326">
        <v>0</v>
      </c>
      <c r="T90" s="326">
        <v>0</v>
      </c>
      <c r="U90" s="326">
        <v>0</v>
      </c>
      <c r="V90" s="326">
        <v>0</v>
      </c>
      <c r="W90" s="326">
        <v>-11629.8</v>
      </c>
      <c r="X90" s="326">
        <v>0</v>
      </c>
      <c r="Y90" s="326">
        <v>0</v>
      </c>
      <c r="Z90" s="326">
        <v>0</v>
      </c>
      <c r="AA90" s="326">
        <v>0</v>
      </c>
      <c r="AB90" s="326">
        <v>0</v>
      </c>
      <c r="AC90" s="326">
        <v>0</v>
      </c>
      <c r="AD90" s="326">
        <v>0</v>
      </c>
      <c r="AE90" s="326">
        <v>0</v>
      </c>
      <c r="AF90" s="326">
        <v>0</v>
      </c>
      <c r="AG90" s="326">
        <v>0</v>
      </c>
      <c r="AH90" s="326">
        <v>0</v>
      </c>
      <c r="AI90" s="326">
        <v>0</v>
      </c>
      <c r="AJ90" s="326">
        <v>0</v>
      </c>
      <c r="AK90" s="326">
        <v>-14058.02</v>
      </c>
      <c r="AL90" s="326">
        <v>0</v>
      </c>
      <c r="AM90" s="326">
        <v>0</v>
      </c>
      <c r="AN90" s="326">
        <v>0</v>
      </c>
      <c r="AO90" s="326">
        <v>0</v>
      </c>
      <c r="AP90" s="326">
        <v>0</v>
      </c>
      <c r="AQ90" s="326">
        <v>0</v>
      </c>
      <c r="AR90" s="326">
        <v>-2428.2199999999998</v>
      </c>
      <c r="AS90" s="326">
        <v>0</v>
      </c>
      <c r="AT90" s="326">
        <v>0</v>
      </c>
    </row>
    <row r="91" spans="3:46" ht="13.5">
      <c r="C91" s="324" t="s">
        <v>589</v>
      </c>
      <c r="D91" s="323" t="s">
        <v>584</v>
      </c>
      <c r="E91" s="325">
        <v>0</v>
      </c>
      <c r="F91" s="325">
        <v>0</v>
      </c>
      <c r="G91" s="325">
        <v>0</v>
      </c>
      <c r="H91" s="325">
        <v>0</v>
      </c>
      <c r="I91" s="325">
        <v>0</v>
      </c>
      <c r="J91" s="325">
        <v>0</v>
      </c>
      <c r="K91" s="325">
        <v>0</v>
      </c>
      <c r="L91" s="325">
        <v>0</v>
      </c>
      <c r="M91" s="325">
        <v>0</v>
      </c>
      <c r="N91" s="325" t="s">
        <v>586</v>
      </c>
      <c r="O91" s="325">
        <v>0</v>
      </c>
      <c r="P91" s="325">
        <v>0</v>
      </c>
      <c r="Q91" s="325">
        <v>0</v>
      </c>
      <c r="R91" s="325">
        <v>0</v>
      </c>
      <c r="S91" s="325">
        <v>0</v>
      </c>
      <c r="T91" s="325">
        <v>0</v>
      </c>
      <c r="U91" s="325">
        <v>0</v>
      </c>
      <c r="V91" s="325">
        <v>0</v>
      </c>
      <c r="W91" s="325">
        <v>0</v>
      </c>
      <c r="X91" s="325">
        <v>0</v>
      </c>
      <c r="Y91" s="325">
        <v>0</v>
      </c>
      <c r="Z91" s="325">
        <v>0</v>
      </c>
      <c r="AA91" s="325">
        <v>0</v>
      </c>
      <c r="AB91" s="325">
        <v>0</v>
      </c>
      <c r="AC91" s="325">
        <v>0</v>
      </c>
      <c r="AD91" s="325">
        <v>0</v>
      </c>
      <c r="AE91" s="325">
        <v>0</v>
      </c>
      <c r="AF91" s="325">
        <v>0</v>
      </c>
      <c r="AG91" s="325">
        <v>0</v>
      </c>
      <c r="AH91" s="325">
        <v>0</v>
      </c>
      <c r="AI91" s="325">
        <v>0</v>
      </c>
      <c r="AJ91" s="325">
        <v>0</v>
      </c>
      <c r="AK91" s="325">
        <v>-35199.519999999997</v>
      </c>
      <c r="AL91" s="325">
        <v>0</v>
      </c>
      <c r="AM91" s="325">
        <v>0</v>
      </c>
      <c r="AN91" s="325">
        <v>0</v>
      </c>
      <c r="AO91" s="325">
        <v>0</v>
      </c>
      <c r="AP91" s="325">
        <v>0</v>
      </c>
      <c r="AQ91" s="325">
        <v>-35199.519999999997</v>
      </c>
      <c r="AR91" s="325">
        <v>0</v>
      </c>
      <c r="AS91" s="325">
        <v>0</v>
      </c>
      <c r="AT91" s="325">
        <v>0</v>
      </c>
    </row>
    <row r="92" spans="3:46" ht="13.5">
      <c r="C92" s="324" t="s">
        <v>590</v>
      </c>
      <c r="D92" s="323" t="s">
        <v>584</v>
      </c>
      <c r="E92" s="326">
        <v>603.4</v>
      </c>
      <c r="F92" s="326">
        <v>168.69</v>
      </c>
      <c r="G92" s="326">
        <v>7135.02</v>
      </c>
      <c r="H92" s="326">
        <v>43.46</v>
      </c>
      <c r="I92" s="326">
        <v>0</v>
      </c>
      <c r="J92" s="326">
        <v>0</v>
      </c>
      <c r="K92" s="326">
        <v>0</v>
      </c>
      <c r="L92" s="326">
        <v>0</v>
      </c>
      <c r="M92" s="326">
        <v>1904.74</v>
      </c>
      <c r="N92" s="326" t="s">
        <v>586</v>
      </c>
      <c r="O92" s="326">
        <v>6080.32</v>
      </c>
      <c r="P92" s="326">
        <v>45.76</v>
      </c>
      <c r="Q92" s="326">
        <v>132.09</v>
      </c>
      <c r="R92" s="326">
        <v>0</v>
      </c>
      <c r="S92" s="326">
        <v>0</v>
      </c>
      <c r="T92" s="326">
        <v>44.59</v>
      </c>
      <c r="U92" s="326">
        <v>0</v>
      </c>
      <c r="V92" s="326">
        <v>0</v>
      </c>
      <c r="W92" s="326">
        <v>0</v>
      </c>
      <c r="X92" s="326">
        <v>0</v>
      </c>
      <c r="Y92" s="326">
        <v>-214.49</v>
      </c>
      <c r="Z92" s="326">
        <v>620.82000000000005</v>
      </c>
      <c r="AA92" s="326">
        <v>574.6</v>
      </c>
      <c r="AB92" s="326">
        <v>0</v>
      </c>
      <c r="AC92" s="326">
        <v>0</v>
      </c>
      <c r="AD92" s="326">
        <v>0</v>
      </c>
      <c r="AE92" s="326">
        <v>0</v>
      </c>
      <c r="AF92" s="326">
        <v>0</v>
      </c>
      <c r="AG92" s="326">
        <v>0</v>
      </c>
      <c r="AH92" s="326">
        <v>0</v>
      </c>
      <c r="AI92" s="326">
        <v>0</v>
      </c>
      <c r="AJ92" s="326">
        <v>0</v>
      </c>
      <c r="AK92" s="326">
        <v>16405.52</v>
      </c>
      <c r="AL92" s="326">
        <v>0</v>
      </c>
      <c r="AM92" s="326">
        <v>0</v>
      </c>
      <c r="AN92" s="326">
        <v>0</v>
      </c>
      <c r="AO92" s="326">
        <v>0</v>
      </c>
      <c r="AP92" s="326">
        <v>89.22</v>
      </c>
      <c r="AQ92" s="326">
        <v>-311.5</v>
      </c>
      <c r="AR92" s="326">
        <v>-511.21</v>
      </c>
      <c r="AS92" s="326">
        <v>0</v>
      </c>
      <c r="AT92" s="326">
        <v>0</v>
      </c>
    </row>
    <row r="93" spans="3:46" ht="13.5">
      <c r="C93" s="324" t="s">
        <v>591</v>
      </c>
      <c r="D93" s="323" t="s">
        <v>584</v>
      </c>
      <c r="E93" s="325">
        <v>814.58</v>
      </c>
      <c r="F93" s="325">
        <v>2895.42</v>
      </c>
      <c r="G93" s="325">
        <v>48834.75</v>
      </c>
      <c r="H93" s="325">
        <v>4739.21</v>
      </c>
      <c r="I93" s="325">
        <v>0</v>
      </c>
      <c r="J93" s="325">
        <v>0</v>
      </c>
      <c r="K93" s="325">
        <v>0</v>
      </c>
      <c r="L93" s="325">
        <v>118.61</v>
      </c>
      <c r="M93" s="325">
        <v>171151.86</v>
      </c>
      <c r="N93" s="325" t="s">
        <v>586</v>
      </c>
      <c r="O93" s="325">
        <v>230955.53</v>
      </c>
      <c r="P93" s="325">
        <v>9023.85</v>
      </c>
      <c r="Q93" s="325">
        <v>9158.0400000000009</v>
      </c>
      <c r="R93" s="325">
        <v>0</v>
      </c>
      <c r="S93" s="325">
        <v>-1478.69</v>
      </c>
      <c r="T93" s="325">
        <v>401.39</v>
      </c>
      <c r="U93" s="325">
        <v>0</v>
      </c>
      <c r="V93" s="325">
        <v>0</v>
      </c>
      <c r="W93" s="325">
        <v>-17082.599999999999</v>
      </c>
      <c r="X93" s="325">
        <v>257.99</v>
      </c>
      <c r="Y93" s="325">
        <v>3603.62</v>
      </c>
      <c r="Z93" s="325">
        <v>2716.02</v>
      </c>
      <c r="AA93" s="325">
        <v>4123.58</v>
      </c>
      <c r="AB93" s="325">
        <v>0</v>
      </c>
      <c r="AC93" s="325">
        <v>88341.9</v>
      </c>
      <c r="AD93" s="325">
        <v>203773.82</v>
      </c>
      <c r="AE93" s="325">
        <v>122.42</v>
      </c>
      <c r="AF93" s="325">
        <v>363.92</v>
      </c>
      <c r="AG93" s="325">
        <v>8483.1299999999992</v>
      </c>
      <c r="AH93" s="325">
        <v>1567.96</v>
      </c>
      <c r="AI93" s="325">
        <v>0</v>
      </c>
      <c r="AJ93" s="325">
        <v>0</v>
      </c>
      <c r="AK93" s="325">
        <v>863563.63</v>
      </c>
      <c r="AL93" s="325">
        <v>350281.34</v>
      </c>
      <c r="AM93" s="325">
        <v>0</v>
      </c>
      <c r="AN93" s="325">
        <v>0</v>
      </c>
      <c r="AO93" s="325">
        <v>0</v>
      </c>
      <c r="AP93" s="325">
        <v>46963.8</v>
      </c>
      <c r="AQ93" s="325">
        <v>-32841.01</v>
      </c>
      <c r="AR93" s="325">
        <v>27477.01</v>
      </c>
      <c r="AS93" s="325">
        <v>46138.12</v>
      </c>
      <c r="AT93" s="325">
        <v>2939.43</v>
      </c>
    </row>
    <row r="94" spans="3:46" ht="13.5">
      <c r="C94" s="324" t="s">
        <v>592</v>
      </c>
      <c r="D94" s="323" t="s">
        <v>584</v>
      </c>
      <c r="E94" s="326">
        <v>0</v>
      </c>
      <c r="F94" s="326">
        <v>0</v>
      </c>
      <c r="G94" s="326">
        <v>0</v>
      </c>
      <c r="H94" s="326">
        <v>0</v>
      </c>
      <c r="I94" s="326">
        <v>0</v>
      </c>
      <c r="J94" s="326">
        <v>0</v>
      </c>
      <c r="K94" s="326">
        <v>0</v>
      </c>
      <c r="L94" s="326">
        <v>0</v>
      </c>
      <c r="M94" s="326">
        <v>0</v>
      </c>
      <c r="N94" s="326" t="s">
        <v>586</v>
      </c>
      <c r="O94" s="326">
        <v>0</v>
      </c>
      <c r="P94" s="326">
        <v>-9017.07</v>
      </c>
      <c r="Q94" s="326">
        <v>0</v>
      </c>
      <c r="R94" s="326">
        <v>0</v>
      </c>
      <c r="S94" s="326">
        <v>9396.9</v>
      </c>
      <c r="T94" s="326">
        <v>0</v>
      </c>
      <c r="U94" s="326">
        <v>0</v>
      </c>
      <c r="V94" s="326">
        <v>85.79</v>
      </c>
      <c r="W94" s="326">
        <v>0</v>
      </c>
      <c r="X94" s="326">
        <v>0</v>
      </c>
      <c r="Y94" s="326">
        <v>0</v>
      </c>
      <c r="Z94" s="326">
        <v>0</v>
      </c>
      <c r="AA94" s="326">
        <v>0</v>
      </c>
      <c r="AB94" s="326">
        <v>-39.979999999999997</v>
      </c>
      <c r="AC94" s="326">
        <v>0</v>
      </c>
      <c r="AD94" s="326">
        <v>0</v>
      </c>
      <c r="AE94" s="326">
        <v>0</v>
      </c>
      <c r="AF94" s="326">
        <v>0</v>
      </c>
      <c r="AG94" s="326">
        <v>0</v>
      </c>
      <c r="AH94" s="326">
        <v>0</v>
      </c>
      <c r="AI94" s="326">
        <v>0</v>
      </c>
      <c r="AJ94" s="326">
        <v>0</v>
      </c>
      <c r="AK94" s="326">
        <v>381.21</v>
      </c>
      <c r="AL94" s="326">
        <v>0</v>
      </c>
      <c r="AM94" s="326">
        <v>0</v>
      </c>
      <c r="AN94" s="326">
        <v>0</v>
      </c>
      <c r="AO94" s="326">
        <v>0</v>
      </c>
      <c r="AP94" s="326">
        <v>44.59</v>
      </c>
      <c r="AQ94" s="326">
        <v>-89.01</v>
      </c>
      <c r="AR94" s="326">
        <v>0</v>
      </c>
      <c r="AS94" s="326">
        <v>0</v>
      </c>
      <c r="AT94" s="326">
        <v>0</v>
      </c>
    </row>
    <row r="95" spans="3:46" ht="13.5">
      <c r="C95" s="324" t="s">
        <v>593</v>
      </c>
      <c r="D95" s="323" t="s">
        <v>584</v>
      </c>
      <c r="E95" s="325">
        <v>-663.73</v>
      </c>
      <c r="F95" s="325">
        <v>618.42999999999995</v>
      </c>
      <c r="G95" s="325">
        <v>-2602.0500000000002</v>
      </c>
      <c r="H95" s="325">
        <v>14.61</v>
      </c>
      <c r="I95" s="325">
        <v>0</v>
      </c>
      <c r="J95" s="325">
        <v>0</v>
      </c>
      <c r="K95" s="325">
        <v>0</v>
      </c>
      <c r="L95" s="325">
        <v>0</v>
      </c>
      <c r="M95" s="325">
        <v>1733.8</v>
      </c>
      <c r="N95" s="325" t="s">
        <v>586</v>
      </c>
      <c r="O95" s="325">
        <v>3116.11</v>
      </c>
      <c r="P95" s="325">
        <v>-6.78</v>
      </c>
      <c r="Q95" s="325">
        <v>-44.05</v>
      </c>
      <c r="R95" s="325">
        <v>0</v>
      </c>
      <c r="S95" s="325">
        <v>-286.20999999999998</v>
      </c>
      <c r="T95" s="325">
        <v>44.59</v>
      </c>
      <c r="U95" s="325">
        <v>0</v>
      </c>
      <c r="V95" s="325">
        <v>-85.79</v>
      </c>
      <c r="W95" s="325">
        <v>-724.19</v>
      </c>
      <c r="X95" s="325">
        <v>0</v>
      </c>
      <c r="Y95" s="325">
        <v>0</v>
      </c>
      <c r="Z95" s="325">
        <v>-1862.41</v>
      </c>
      <c r="AA95" s="325">
        <v>0</v>
      </c>
      <c r="AB95" s="325">
        <v>0</v>
      </c>
      <c r="AC95" s="325">
        <v>0</v>
      </c>
      <c r="AD95" s="325">
        <v>-1</v>
      </c>
      <c r="AE95" s="325">
        <v>0</v>
      </c>
      <c r="AF95" s="325">
        <v>0</v>
      </c>
      <c r="AG95" s="325">
        <v>0</v>
      </c>
      <c r="AH95" s="325">
        <v>0</v>
      </c>
      <c r="AI95" s="325">
        <v>-684.12</v>
      </c>
      <c r="AJ95" s="325">
        <v>0</v>
      </c>
      <c r="AK95" s="325">
        <v>-11450.02</v>
      </c>
      <c r="AL95" s="325">
        <v>-1</v>
      </c>
      <c r="AM95" s="325">
        <v>0</v>
      </c>
      <c r="AN95" s="325">
        <v>0</v>
      </c>
      <c r="AO95" s="325">
        <v>0</v>
      </c>
      <c r="AP95" s="325">
        <v>-7537.41</v>
      </c>
      <c r="AQ95" s="325">
        <v>-3203.99</v>
      </c>
      <c r="AR95" s="325">
        <v>724.19</v>
      </c>
      <c r="AS95" s="325">
        <v>0</v>
      </c>
      <c r="AT95" s="325">
        <v>0</v>
      </c>
    </row>
    <row r="96" spans="3:46" ht="13.5">
      <c r="C96" s="324" t="s">
        <v>594</v>
      </c>
      <c r="D96" s="323" t="s">
        <v>584</v>
      </c>
      <c r="E96" s="326">
        <v>0</v>
      </c>
      <c r="F96" s="326">
        <v>0</v>
      </c>
      <c r="G96" s="326">
        <v>-29803.65</v>
      </c>
      <c r="H96" s="326">
        <v>-231.99</v>
      </c>
      <c r="I96" s="326">
        <v>0</v>
      </c>
      <c r="J96" s="326">
        <v>2329.4499999999998</v>
      </c>
      <c r="K96" s="326">
        <v>1403.75</v>
      </c>
      <c r="L96" s="326">
        <v>0</v>
      </c>
      <c r="M96" s="326">
        <v>-50783.33</v>
      </c>
      <c r="N96" s="326" t="s">
        <v>586</v>
      </c>
      <c r="O96" s="326">
        <v>-234071.64</v>
      </c>
      <c r="P96" s="326">
        <v>0</v>
      </c>
      <c r="Q96" s="326">
        <v>-9113.99</v>
      </c>
      <c r="R96" s="326">
        <v>13756.61</v>
      </c>
      <c r="S96" s="326">
        <v>0</v>
      </c>
      <c r="T96" s="326">
        <v>0</v>
      </c>
      <c r="U96" s="326">
        <v>0</v>
      </c>
      <c r="V96" s="326">
        <v>0</v>
      </c>
      <c r="W96" s="326">
        <v>20661.02</v>
      </c>
      <c r="X96" s="326">
        <v>0</v>
      </c>
      <c r="Y96" s="326">
        <v>0</v>
      </c>
      <c r="Z96" s="326">
        <v>3957.61</v>
      </c>
      <c r="AA96" s="326">
        <v>0</v>
      </c>
      <c r="AB96" s="326">
        <v>3039.99</v>
      </c>
      <c r="AC96" s="326">
        <v>-88341.9</v>
      </c>
      <c r="AD96" s="326">
        <v>-196430.25</v>
      </c>
      <c r="AE96" s="326">
        <v>-122.42</v>
      </c>
      <c r="AF96" s="326">
        <v>0</v>
      </c>
      <c r="AG96" s="326">
        <v>-8483.1299999999992</v>
      </c>
      <c r="AH96" s="326">
        <v>-1567.96</v>
      </c>
      <c r="AI96" s="326">
        <v>159166.64000000001</v>
      </c>
      <c r="AJ96" s="326">
        <v>0</v>
      </c>
      <c r="AK96" s="326">
        <v>-217281.1</v>
      </c>
      <c r="AL96" s="326">
        <v>-299850.49</v>
      </c>
      <c r="AM96" s="326">
        <v>263.94</v>
      </c>
      <c r="AN96" s="326">
        <v>0</v>
      </c>
      <c r="AO96" s="326">
        <v>0</v>
      </c>
      <c r="AP96" s="326">
        <v>64402.400000000001</v>
      </c>
      <c r="AQ96" s="326">
        <v>47570.51</v>
      </c>
      <c r="AR96" s="326">
        <v>91590.02</v>
      </c>
      <c r="AS96" s="326">
        <v>-3786.29</v>
      </c>
      <c r="AT96" s="326">
        <v>-2686.5</v>
      </c>
    </row>
    <row r="97" spans="2:46" s="315" customFormat="1" ht="21">
      <c r="B97" s="297"/>
      <c r="C97" s="314" t="s">
        <v>595</v>
      </c>
      <c r="D97" s="298" t="s">
        <v>584</v>
      </c>
      <c r="E97" s="313">
        <v>0</v>
      </c>
      <c r="F97" s="313">
        <v>0</v>
      </c>
      <c r="G97" s="313">
        <v>-11153.93</v>
      </c>
      <c r="H97" s="313">
        <v>0</v>
      </c>
      <c r="I97" s="313">
        <v>0</v>
      </c>
      <c r="J97" s="313">
        <v>0</v>
      </c>
      <c r="K97" s="313">
        <v>0</v>
      </c>
      <c r="L97" s="313">
        <v>0</v>
      </c>
      <c r="M97" s="313">
        <v>-37087.43</v>
      </c>
      <c r="N97" s="313" t="s">
        <v>586</v>
      </c>
      <c r="O97" s="313">
        <v>0</v>
      </c>
      <c r="P97" s="313">
        <v>0</v>
      </c>
      <c r="Q97" s="313">
        <v>0</v>
      </c>
      <c r="R97" s="313">
        <v>0</v>
      </c>
      <c r="S97" s="313">
        <v>0</v>
      </c>
      <c r="T97" s="313">
        <v>0</v>
      </c>
      <c r="U97" s="313">
        <v>0</v>
      </c>
      <c r="V97" s="313">
        <v>0</v>
      </c>
      <c r="W97" s="313">
        <v>0</v>
      </c>
      <c r="X97" s="313">
        <v>0</v>
      </c>
      <c r="Y97" s="313">
        <v>0</v>
      </c>
      <c r="Z97" s="313">
        <v>0</v>
      </c>
      <c r="AA97" s="313">
        <v>0</v>
      </c>
      <c r="AB97" s="313">
        <v>0</v>
      </c>
      <c r="AC97" s="313">
        <v>-88313.09</v>
      </c>
      <c r="AD97" s="313">
        <v>-194726.56</v>
      </c>
      <c r="AE97" s="313">
        <v>0</v>
      </c>
      <c r="AF97" s="313">
        <v>0</v>
      </c>
      <c r="AG97" s="313">
        <v>-8483.1299999999992</v>
      </c>
      <c r="AH97" s="313">
        <v>0</v>
      </c>
      <c r="AI97" s="313">
        <v>149639.32999999999</v>
      </c>
      <c r="AJ97" s="313">
        <v>0</v>
      </c>
      <c r="AK97" s="313">
        <v>-191727.51</v>
      </c>
      <c r="AL97" s="313">
        <v>-293125.49</v>
      </c>
      <c r="AM97" s="313">
        <v>0</v>
      </c>
      <c r="AN97" s="313">
        <v>0</v>
      </c>
      <c r="AO97" s="313">
        <v>0</v>
      </c>
      <c r="AP97" s="313">
        <v>0</v>
      </c>
      <c r="AQ97" s="313">
        <v>0</v>
      </c>
      <c r="AR97" s="313">
        <v>0</v>
      </c>
      <c r="AS97" s="313">
        <v>0</v>
      </c>
      <c r="AT97" s="313">
        <v>-1602.71</v>
      </c>
    </row>
    <row r="98" spans="2:46" s="318" customFormat="1" ht="13.5">
      <c r="B98" s="317"/>
      <c r="C98" s="316" t="s">
        <v>596</v>
      </c>
      <c r="D98" s="320" t="s">
        <v>584</v>
      </c>
      <c r="E98" s="319">
        <v>0</v>
      </c>
      <c r="F98" s="319">
        <v>0</v>
      </c>
      <c r="G98" s="319">
        <v>0</v>
      </c>
      <c r="H98" s="319">
        <v>0</v>
      </c>
      <c r="I98" s="319">
        <v>0</v>
      </c>
      <c r="J98" s="319">
        <v>0</v>
      </c>
      <c r="K98" s="319">
        <v>0</v>
      </c>
      <c r="L98" s="319">
        <v>0</v>
      </c>
      <c r="M98" s="319">
        <v>0</v>
      </c>
      <c r="N98" s="319" t="s">
        <v>586</v>
      </c>
      <c r="O98" s="319">
        <v>0</v>
      </c>
      <c r="P98" s="319">
        <v>0</v>
      </c>
      <c r="Q98" s="319">
        <v>0</v>
      </c>
      <c r="R98" s="319">
        <v>0</v>
      </c>
      <c r="S98" s="319">
        <v>0</v>
      </c>
      <c r="T98" s="319">
        <v>0</v>
      </c>
      <c r="U98" s="319">
        <v>0</v>
      </c>
      <c r="V98" s="319">
        <v>0</v>
      </c>
      <c r="W98" s="319">
        <v>0</v>
      </c>
      <c r="X98" s="319">
        <v>0</v>
      </c>
      <c r="Y98" s="319">
        <v>0</v>
      </c>
      <c r="Z98" s="319">
        <v>0</v>
      </c>
      <c r="AA98" s="319">
        <v>0</v>
      </c>
      <c r="AB98" s="319">
        <v>0</v>
      </c>
      <c r="AC98" s="319">
        <v>-28.81</v>
      </c>
      <c r="AD98" s="319">
        <v>0</v>
      </c>
      <c r="AE98" s="319">
        <v>-122.42</v>
      </c>
      <c r="AF98" s="319">
        <v>0</v>
      </c>
      <c r="AG98" s="319">
        <v>0</v>
      </c>
      <c r="AH98" s="319">
        <v>0</v>
      </c>
      <c r="AI98" s="319">
        <v>248.44</v>
      </c>
      <c r="AJ98" s="319">
        <v>0</v>
      </c>
      <c r="AK98" s="319">
        <v>-191.71</v>
      </c>
      <c r="AL98" s="319">
        <v>-440.16</v>
      </c>
      <c r="AM98" s="319">
        <v>0</v>
      </c>
      <c r="AN98" s="319">
        <v>0</v>
      </c>
      <c r="AO98" s="319">
        <v>0</v>
      </c>
      <c r="AP98" s="319">
        <v>0</v>
      </c>
      <c r="AQ98" s="319">
        <v>0</v>
      </c>
      <c r="AR98" s="319">
        <v>0</v>
      </c>
      <c r="AS98" s="319">
        <v>0</v>
      </c>
      <c r="AT98" s="319">
        <v>-288.93</v>
      </c>
    </row>
    <row r="99" spans="2:46" s="331" customFormat="1" ht="13.5">
      <c r="B99" s="327"/>
      <c r="C99" s="328" t="s">
        <v>597</v>
      </c>
      <c r="D99" s="329" t="s">
        <v>584</v>
      </c>
      <c r="E99" s="330">
        <v>0</v>
      </c>
      <c r="F99" s="330">
        <v>0</v>
      </c>
      <c r="G99" s="330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-12070.04</v>
      </c>
      <c r="N99" s="330" t="s">
        <v>586</v>
      </c>
      <c r="O99" s="330">
        <v>0</v>
      </c>
      <c r="P99" s="330">
        <v>0</v>
      </c>
      <c r="Q99" s="330">
        <v>0</v>
      </c>
      <c r="R99" s="330">
        <v>0</v>
      </c>
      <c r="S99" s="330">
        <v>0</v>
      </c>
      <c r="T99" s="330">
        <v>0</v>
      </c>
      <c r="U99" s="330">
        <v>0</v>
      </c>
      <c r="V99" s="330">
        <v>0</v>
      </c>
      <c r="W99" s="330">
        <v>0</v>
      </c>
      <c r="X99" s="330">
        <v>0</v>
      </c>
      <c r="Y99" s="330">
        <v>0</v>
      </c>
      <c r="Z99" s="330">
        <v>0</v>
      </c>
      <c r="AA99" s="330">
        <v>0</v>
      </c>
      <c r="AB99" s="330">
        <v>0</v>
      </c>
      <c r="AC99" s="330">
        <v>0</v>
      </c>
      <c r="AD99" s="330">
        <v>0</v>
      </c>
      <c r="AE99" s="330">
        <v>0</v>
      </c>
      <c r="AF99" s="330">
        <v>0</v>
      </c>
      <c r="AG99" s="330">
        <v>0</v>
      </c>
      <c r="AH99" s="330">
        <v>0</v>
      </c>
      <c r="AI99" s="330">
        <v>4270.37</v>
      </c>
      <c r="AJ99" s="330">
        <v>2.0099999999999998</v>
      </c>
      <c r="AK99" s="330">
        <v>-7797.66</v>
      </c>
      <c r="AL99" s="330">
        <v>0</v>
      </c>
      <c r="AM99" s="330">
        <v>0</v>
      </c>
      <c r="AN99" s="330">
        <v>0</v>
      </c>
      <c r="AO99" s="330">
        <v>0</v>
      </c>
      <c r="AP99" s="330">
        <v>0</v>
      </c>
      <c r="AQ99" s="330">
        <v>0</v>
      </c>
      <c r="AR99" s="330">
        <v>0</v>
      </c>
      <c r="AS99" s="330">
        <v>0</v>
      </c>
      <c r="AT99" s="330">
        <v>0</v>
      </c>
    </row>
    <row r="100" spans="2:46" s="336" customFormat="1" ht="13.5">
      <c r="B100" s="332"/>
      <c r="C100" s="333" t="s">
        <v>598</v>
      </c>
      <c r="D100" s="334" t="s">
        <v>584</v>
      </c>
      <c r="E100" s="335">
        <v>0</v>
      </c>
      <c r="F100" s="335">
        <v>0</v>
      </c>
      <c r="G100" s="335">
        <v>0</v>
      </c>
      <c r="H100" s="335">
        <v>-231.99</v>
      </c>
      <c r="I100" s="335">
        <v>0</v>
      </c>
      <c r="J100" s="335">
        <v>-1906.54</v>
      </c>
      <c r="K100" s="335">
        <v>-5615.92</v>
      </c>
      <c r="L100" s="335">
        <v>0</v>
      </c>
      <c r="M100" s="335">
        <v>-1625.82</v>
      </c>
      <c r="N100" s="335" t="s">
        <v>586</v>
      </c>
      <c r="O100" s="335">
        <v>0</v>
      </c>
      <c r="P100" s="335">
        <v>0</v>
      </c>
      <c r="Q100" s="335">
        <v>0</v>
      </c>
      <c r="R100" s="335">
        <v>0</v>
      </c>
      <c r="S100" s="335">
        <v>0</v>
      </c>
      <c r="T100" s="335">
        <v>0</v>
      </c>
      <c r="U100" s="335">
        <v>0</v>
      </c>
      <c r="V100" s="335">
        <v>0</v>
      </c>
      <c r="W100" s="335">
        <v>0</v>
      </c>
      <c r="X100" s="335">
        <v>0</v>
      </c>
      <c r="Y100" s="335">
        <v>0</v>
      </c>
      <c r="Z100" s="335">
        <v>0</v>
      </c>
      <c r="AA100" s="335">
        <v>0</v>
      </c>
      <c r="AB100" s="335">
        <v>0</v>
      </c>
      <c r="AC100" s="335">
        <v>0</v>
      </c>
      <c r="AD100" s="335">
        <v>-1703.69</v>
      </c>
      <c r="AE100" s="335">
        <v>0</v>
      </c>
      <c r="AF100" s="335">
        <v>0</v>
      </c>
      <c r="AG100" s="335">
        <v>0</v>
      </c>
      <c r="AH100" s="335">
        <v>-1567.96</v>
      </c>
      <c r="AI100" s="335">
        <v>5008.5</v>
      </c>
      <c r="AJ100" s="335">
        <v>1364.73</v>
      </c>
      <c r="AK100" s="335">
        <v>-10859.85</v>
      </c>
      <c r="AL100" s="335">
        <v>-6284.85</v>
      </c>
      <c r="AM100" s="335">
        <v>0</v>
      </c>
      <c r="AN100" s="335">
        <v>0</v>
      </c>
      <c r="AO100" s="335">
        <v>0</v>
      </c>
      <c r="AP100" s="335">
        <v>0</v>
      </c>
      <c r="AQ100" s="335">
        <v>0</v>
      </c>
      <c r="AR100" s="335">
        <v>0</v>
      </c>
      <c r="AS100" s="335">
        <v>-3786.29</v>
      </c>
      <c r="AT100" s="335">
        <v>-794.86</v>
      </c>
    </row>
    <row r="101" spans="2:46" ht="13.5">
      <c r="C101" s="324" t="s">
        <v>599</v>
      </c>
      <c r="D101" s="323" t="s">
        <v>584</v>
      </c>
      <c r="E101" s="325">
        <v>0</v>
      </c>
      <c r="F101" s="325">
        <v>0</v>
      </c>
      <c r="G101" s="325">
        <v>0</v>
      </c>
      <c r="H101" s="325">
        <v>0</v>
      </c>
      <c r="I101" s="325">
        <v>0</v>
      </c>
      <c r="J101" s="325">
        <v>0</v>
      </c>
      <c r="K101" s="325">
        <v>0</v>
      </c>
      <c r="L101" s="325">
        <v>0</v>
      </c>
      <c r="M101" s="325">
        <v>0</v>
      </c>
      <c r="N101" s="325" t="s">
        <v>586</v>
      </c>
      <c r="O101" s="325">
        <v>0</v>
      </c>
      <c r="P101" s="325">
        <v>0</v>
      </c>
      <c r="Q101" s="325">
        <v>0</v>
      </c>
      <c r="R101" s="325">
        <v>0</v>
      </c>
      <c r="S101" s="325">
        <v>0</v>
      </c>
      <c r="T101" s="325">
        <v>0</v>
      </c>
      <c r="U101" s="325">
        <v>0</v>
      </c>
      <c r="V101" s="325">
        <v>0</v>
      </c>
      <c r="W101" s="325">
        <v>0</v>
      </c>
      <c r="X101" s="325">
        <v>0</v>
      </c>
      <c r="Y101" s="325">
        <v>0</v>
      </c>
      <c r="Z101" s="325">
        <v>0</v>
      </c>
      <c r="AA101" s="325">
        <v>0</v>
      </c>
      <c r="AB101" s="325">
        <v>0</v>
      </c>
      <c r="AC101" s="325">
        <v>0</v>
      </c>
      <c r="AD101" s="325">
        <v>0</v>
      </c>
      <c r="AE101" s="325">
        <v>0</v>
      </c>
      <c r="AF101" s="325">
        <v>0</v>
      </c>
      <c r="AG101" s="325">
        <v>0</v>
      </c>
      <c r="AH101" s="325">
        <v>0</v>
      </c>
      <c r="AI101" s="325">
        <v>0</v>
      </c>
      <c r="AJ101" s="325">
        <v>0</v>
      </c>
      <c r="AK101" s="325">
        <v>0</v>
      </c>
      <c r="AL101" s="325">
        <v>0</v>
      </c>
      <c r="AM101" s="325">
        <v>0</v>
      </c>
      <c r="AN101" s="325">
        <v>0</v>
      </c>
      <c r="AO101" s="325">
        <v>0</v>
      </c>
      <c r="AP101" s="325">
        <v>0</v>
      </c>
      <c r="AQ101" s="325">
        <v>0</v>
      </c>
      <c r="AR101" s="325">
        <v>0</v>
      </c>
      <c r="AS101" s="325">
        <v>0</v>
      </c>
      <c r="AT101" s="325">
        <v>0</v>
      </c>
    </row>
    <row r="102" spans="2:46" ht="13.5">
      <c r="C102" s="324" t="s">
        <v>600</v>
      </c>
      <c r="D102" s="323" t="s">
        <v>584</v>
      </c>
      <c r="E102" s="326">
        <v>0</v>
      </c>
      <c r="F102" s="326">
        <v>0</v>
      </c>
      <c r="G102" s="326">
        <v>0</v>
      </c>
      <c r="H102" s="326">
        <v>0</v>
      </c>
      <c r="I102" s="326">
        <v>0</v>
      </c>
      <c r="J102" s="326">
        <v>0</v>
      </c>
      <c r="K102" s="326">
        <v>0</v>
      </c>
      <c r="L102" s="326">
        <v>0</v>
      </c>
      <c r="M102" s="326">
        <v>0</v>
      </c>
      <c r="N102" s="326" t="s">
        <v>586</v>
      </c>
      <c r="O102" s="326">
        <v>0</v>
      </c>
      <c r="P102" s="326">
        <v>0</v>
      </c>
      <c r="Q102" s="326">
        <v>0</v>
      </c>
      <c r="R102" s="326">
        <v>0</v>
      </c>
      <c r="S102" s="326">
        <v>0</v>
      </c>
      <c r="T102" s="326">
        <v>0</v>
      </c>
      <c r="U102" s="326">
        <v>0</v>
      </c>
      <c r="V102" s="326">
        <v>0</v>
      </c>
      <c r="W102" s="326">
        <v>0</v>
      </c>
      <c r="X102" s="326">
        <v>0</v>
      </c>
      <c r="Y102" s="326">
        <v>0</v>
      </c>
      <c r="Z102" s="326">
        <v>0</v>
      </c>
      <c r="AA102" s="326">
        <v>0</v>
      </c>
      <c r="AB102" s="326">
        <v>0</v>
      </c>
      <c r="AC102" s="326">
        <v>0</v>
      </c>
      <c r="AD102" s="326">
        <v>0</v>
      </c>
      <c r="AE102" s="326">
        <v>0</v>
      </c>
      <c r="AF102" s="326">
        <v>0</v>
      </c>
      <c r="AG102" s="326">
        <v>0</v>
      </c>
      <c r="AH102" s="326">
        <v>0</v>
      </c>
      <c r="AI102" s="326">
        <v>0</v>
      </c>
      <c r="AJ102" s="326">
        <v>0</v>
      </c>
      <c r="AK102" s="326">
        <v>0</v>
      </c>
      <c r="AL102" s="326">
        <v>0</v>
      </c>
      <c r="AM102" s="326">
        <v>0</v>
      </c>
      <c r="AN102" s="326">
        <v>0</v>
      </c>
      <c r="AO102" s="326">
        <v>0</v>
      </c>
      <c r="AP102" s="326">
        <v>0</v>
      </c>
      <c r="AQ102" s="326">
        <v>0</v>
      </c>
      <c r="AR102" s="326">
        <v>0</v>
      </c>
      <c r="AS102" s="326">
        <v>0</v>
      </c>
      <c r="AT102" s="326">
        <v>0</v>
      </c>
    </row>
    <row r="103" spans="2:46" ht="13.5">
      <c r="C103" s="324" t="s">
        <v>601</v>
      </c>
      <c r="D103" s="323" t="s">
        <v>584</v>
      </c>
      <c r="E103" s="325">
        <v>0</v>
      </c>
      <c r="F103" s="325">
        <v>0</v>
      </c>
      <c r="G103" s="325">
        <v>0</v>
      </c>
      <c r="H103" s="325">
        <v>0</v>
      </c>
      <c r="I103" s="325">
        <v>0</v>
      </c>
      <c r="J103" s="325">
        <v>0</v>
      </c>
      <c r="K103" s="325">
        <v>0</v>
      </c>
      <c r="L103" s="325">
        <v>0</v>
      </c>
      <c r="M103" s="325">
        <v>0</v>
      </c>
      <c r="N103" s="325" t="s">
        <v>586</v>
      </c>
      <c r="O103" s="325">
        <v>0</v>
      </c>
      <c r="P103" s="325">
        <v>0</v>
      </c>
      <c r="Q103" s="325">
        <v>0</v>
      </c>
      <c r="R103" s="325">
        <v>0</v>
      </c>
      <c r="S103" s="325">
        <v>0</v>
      </c>
      <c r="T103" s="325">
        <v>0</v>
      </c>
      <c r="U103" s="325">
        <v>0</v>
      </c>
      <c r="V103" s="325">
        <v>0</v>
      </c>
      <c r="W103" s="325">
        <v>0</v>
      </c>
      <c r="X103" s="325">
        <v>0</v>
      </c>
      <c r="Y103" s="325">
        <v>0</v>
      </c>
      <c r="Z103" s="325">
        <v>0</v>
      </c>
      <c r="AA103" s="325">
        <v>0</v>
      </c>
      <c r="AB103" s="325">
        <v>0</v>
      </c>
      <c r="AC103" s="325">
        <v>0</v>
      </c>
      <c r="AD103" s="325">
        <v>0</v>
      </c>
      <c r="AE103" s="325">
        <v>0</v>
      </c>
      <c r="AF103" s="325">
        <v>0</v>
      </c>
      <c r="AG103" s="325">
        <v>0</v>
      </c>
      <c r="AH103" s="325">
        <v>0</v>
      </c>
      <c r="AI103" s="325">
        <v>0</v>
      </c>
      <c r="AJ103" s="325">
        <v>0</v>
      </c>
      <c r="AK103" s="325">
        <v>0</v>
      </c>
      <c r="AL103" s="325">
        <v>0</v>
      </c>
      <c r="AM103" s="325">
        <v>0</v>
      </c>
      <c r="AN103" s="325">
        <v>0</v>
      </c>
      <c r="AO103" s="325">
        <v>0</v>
      </c>
      <c r="AP103" s="325">
        <v>0</v>
      </c>
      <c r="AQ103" s="325">
        <v>0</v>
      </c>
      <c r="AR103" s="325">
        <v>0</v>
      </c>
      <c r="AS103" s="325">
        <v>0</v>
      </c>
      <c r="AT103" s="325">
        <v>0</v>
      </c>
    </row>
    <row r="104" spans="2:46" ht="13.5">
      <c r="C104" s="324" t="s">
        <v>602</v>
      </c>
      <c r="D104" s="323" t="s">
        <v>584</v>
      </c>
      <c r="E104" s="326">
        <v>0</v>
      </c>
      <c r="F104" s="326">
        <v>0</v>
      </c>
      <c r="G104" s="326">
        <v>0</v>
      </c>
      <c r="H104" s="326">
        <v>0</v>
      </c>
      <c r="I104" s="326">
        <v>0</v>
      </c>
      <c r="J104" s="326">
        <v>0</v>
      </c>
      <c r="K104" s="326">
        <v>0</v>
      </c>
      <c r="L104" s="326">
        <v>0</v>
      </c>
      <c r="M104" s="326">
        <v>0</v>
      </c>
      <c r="N104" s="326" t="s">
        <v>586</v>
      </c>
      <c r="O104" s="326">
        <v>0</v>
      </c>
      <c r="P104" s="326">
        <v>0</v>
      </c>
      <c r="Q104" s="326">
        <v>0</v>
      </c>
      <c r="R104" s="326">
        <v>0</v>
      </c>
      <c r="S104" s="326">
        <v>0</v>
      </c>
      <c r="T104" s="326">
        <v>0</v>
      </c>
      <c r="U104" s="326">
        <v>0</v>
      </c>
      <c r="V104" s="326">
        <v>0</v>
      </c>
      <c r="W104" s="326">
        <v>0</v>
      </c>
      <c r="X104" s="326">
        <v>0</v>
      </c>
      <c r="Y104" s="326">
        <v>0</v>
      </c>
      <c r="Z104" s="326">
        <v>0</v>
      </c>
      <c r="AA104" s="326">
        <v>0</v>
      </c>
      <c r="AB104" s="326">
        <v>0</v>
      </c>
      <c r="AC104" s="326">
        <v>0</v>
      </c>
      <c r="AD104" s="326">
        <v>0</v>
      </c>
      <c r="AE104" s="326">
        <v>0</v>
      </c>
      <c r="AF104" s="326">
        <v>0</v>
      </c>
      <c r="AG104" s="326">
        <v>0</v>
      </c>
      <c r="AH104" s="326">
        <v>0</v>
      </c>
      <c r="AI104" s="326">
        <v>0</v>
      </c>
      <c r="AJ104" s="326">
        <v>0</v>
      </c>
      <c r="AK104" s="326">
        <v>0</v>
      </c>
      <c r="AL104" s="326">
        <v>0</v>
      </c>
      <c r="AM104" s="326">
        <v>0</v>
      </c>
      <c r="AN104" s="326">
        <v>0</v>
      </c>
      <c r="AO104" s="326">
        <v>0</v>
      </c>
      <c r="AP104" s="326">
        <v>0</v>
      </c>
      <c r="AQ104" s="326">
        <v>0</v>
      </c>
      <c r="AR104" s="326">
        <v>0</v>
      </c>
      <c r="AS104" s="326">
        <v>0</v>
      </c>
      <c r="AT104" s="326">
        <v>0</v>
      </c>
    </row>
    <row r="105" spans="2:46" ht="21">
      <c r="C105" s="324" t="s">
        <v>603</v>
      </c>
      <c r="D105" s="323" t="s">
        <v>584</v>
      </c>
      <c r="E105" s="325">
        <v>0</v>
      </c>
      <c r="F105" s="325">
        <v>0</v>
      </c>
      <c r="G105" s="325">
        <v>0</v>
      </c>
      <c r="H105" s="325">
        <v>0</v>
      </c>
      <c r="I105" s="325">
        <v>0</v>
      </c>
      <c r="J105" s="325">
        <v>0</v>
      </c>
      <c r="K105" s="325">
        <v>0</v>
      </c>
      <c r="L105" s="325">
        <v>0</v>
      </c>
      <c r="M105" s="325">
        <v>0</v>
      </c>
      <c r="N105" s="325" t="s">
        <v>586</v>
      </c>
      <c r="O105" s="325">
        <v>0</v>
      </c>
      <c r="P105" s="325">
        <v>0</v>
      </c>
      <c r="Q105" s="325">
        <v>0</v>
      </c>
      <c r="R105" s="325">
        <v>0</v>
      </c>
      <c r="S105" s="325">
        <v>0</v>
      </c>
      <c r="T105" s="325">
        <v>0</v>
      </c>
      <c r="U105" s="325">
        <v>0</v>
      </c>
      <c r="V105" s="325">
        <v>0</v>
      </c>
      <c r="W105" s="325">
        <v>0</v>
      </c>
      <c r="X105" s="325">
        <v>0</v>
      </c>
      <c r="Y105" s="325">
        <v>0</v>
      </c>
      <c r="Z105" s="325">
        <v>0</v>
      </c>
      <c r="AA105" s="325">
        <v>0</v>
      </c>
      <c r="AB105" s="325">
        <v>0</v>
      </c>
      <c r="AC105" s="325">
        <v>0</v>
      </c>
      <c r="AD105" s="325">
        <v>0</v>
      </c>
      <c r="AE105" s="325">
        <v>0</v>
      </c>
      <c r="AF105" s="325">
        <v>0</v>
      </c>
      <c r="AG105" s="325">
        <v>0</v>
      </c>
      <c r="AH105" s="325">
        <v>0</v>
      </c>
      <c r="AI105" s="325">
        <v>0</v>
      </c>
      <c r="AJ105" s="325">
        <v>-1366.74</v>
      </c>
      <c r="AK105" s="325">
        <v>-1366.74</v>
      </c>
      <c r="AL105" s="325">
        <v>0</v>
      </c>
      <c r="AM105" s="325">
        <v>0</v>
      </c>
      <c r="AN105" s="325">
        <v>0</v>
      </c>
      <c r="AO105" s="325">
        <v>0</v>
      </c>
      <c r="AP105" s="325">
        <v>0</v>
      </c>
      <c r="AQ105" s="325">
        <v>0</v>
      </c>
      <c r="AR105" s="325">
        <v>0</v>
      </c>
      <c r="AS105" s="325">
        <v>0</v>
      </c>
      <c r="AT105" s="325">
        <v>0</v>
      </c>
    </row>
    <row r="106" spans="2:46" ht="13.5">
      <c r="C106" s="324" t="s">
        <v>604</v>
      </c>
      <c r="D106" s="323" t="s">
        <v>584</v>
      </c>
      <c r="E106" s="326">
        <v>0</v>
      </c>
      <c r="F106" s="326">
        <v>0</v>
      </c>
      <c r="G106" s="326">
        <v>0</v>
      </c>
      <c r="H106" s="326">
        <v>0</v>
      </c>
      <c r="I106" s="326">
        <v>-14868</v>
      </c>
      <c r="J106" s="326">
        <v>0</v>
      </c>
      <c r="K106" s="326">
        <v>7019.63</v>
      </c>
      <c r="L106" s="326">
        <v>0</v>
      </c>
      <c r="M106" s="326">
        <v>0</v>
      </c>
      <c r="N106" s="326" t="s">
        <v>586</v>
      </c>
      <c r="O106" s="326">
        <v>0</v>
      </c>
      <c r="P106" s="326">
        <v>0</v>
      </c>
      <c r="Q106" s="326">
        <v>0</v>
      </c>
      <c r="R106" s="326">
        <v>0</v>
      </c>
      <c r="S106" s="326">
        <v>0</v>
      </c>
      <c r="T106" s="326">
        <v>0</v>
      </c>
      <c r="U106" s="326">
        <v>0</v>
      </c>
      <c r="V106" s="326">
        <v>0</v>
      </c>
      <c r="W106" s="326">
        <v>0</v>
      </c>
      <c r="X106" s="326">
        <v>0</v>
      </c>
      <c r="Y106" s="326">
        <v>0</v>
      </c>
      <c r="Z106" s="326">
        <v>0</v>
      </c>
      <c r="AA106" s="326">
        <v>0</v>
      </c>
      <c r="AB106" s="326">
        <v>0</v>
      </c>
      <c r="AC106" s="326">
        <v>0</v>
      </c>
      <c r="AD106" s="326">
        <v>0</v>
      </c>
      <c r="AE106" s="326">
        <v>0</v>
      </c>
      <c r="AF106" s="326">
        <v>0</v>
      </c>
      <c r="AG106" s="326">
        <v>0</v>
      </c>
      <c r="AH106" s="326">
        <v>0</v>
      </c>
      <c r="AI106" s="326">
        <v>0</v>
      </c>
      <c r="AJ106" s="326">
        <v>0</v>
      </c>
      <c r="AK106" s="326">
        <v>-7584.43</v>
      </c>
      <c r="AL106" s="326">
        <v>0</v>
      </c>
      <c r="AM106" s="326">
        <v>263.94</v>
      </c>
      <c r="AN106" s="326">
        <v>0</v>
      </c>
      <c r="AO106" s="326">
        <v>0</v>
      </c>
      <c r="AP106" s="326">
        <v>0</v>
      </c>
      <c r="AQ106" s="326">
        <v>0</v>
      </c>
      <c r="AR106" s="326">
        <v>0</v>
      </c>
      <c r="AS106" s="326">
        <v>0</v>
      </c>
      <c r="AT106" s="326">
        <v>0</v>
      </c>
    </row>
    <row r="107" spans="2:46" ht="13.5">
      <c r="C107" s="324" t="s">
        <v>605</v>
      </c>
      <c r="D107" s="323" t="s">
        <v>584</v>
      </c>
      <c r="E107" s="325">
        <v>0</v>
      </c>
      <c r="F107" s="325">
        <v>0</v>
      </c>
      <c r="G107" s="325">
        <v>0</v>
      </c>
      <c r="H107" s="325">
        <v>0</v>
      </c>
      <c r="I107" s="325">
        <v>0</v>
      </c>
      <c r="J107" s="325">
        <v>0</v>
      </c>
      <c r="K107" s="325">
        <v>0</v>
      </c>
      <c r="L107" s="325">
        <v>0</v>
      </c>
      <c r="M107" s="325">
        <v>0</v>
      </c>
      <c r="N107" s="325" t="s">
        <v>586</v>
      </c>
      <c r="O107" s="325">
        <v>0</v>
      </c>
      <c r="P107" s="325">
        <v>0</v>
      </c>
      <c r="Q107" s="325">
        <v>0</v>
      </c>
      <c r="R107" s="325">
        <v>0</v>
      </c>
      <c r="S107" s="325">
        <v>0</v>
      </c>
      <c r="T107" s="325">
        <v>0</v>
      </c>
      <c r="U107" s="325">
        <v>0</v>
      </c>
      <c r="V107" s="325">
        <v>0</v>
      </c>
      <c r="W107" s="325">
        <v>0</v>
      </c>
      <c r="X107" s="325">
        <v>0</v>
      </c>
      <c r="Y107" s="325">
        <v>0</v>
      </c>
      <c r="Z107" s="325">
        <v>0</v>
      </c>
      <c r="AA107" s="325">
        <v>0</v>
      </c>
      <c r="AB107" s="325">
        <v>0</v>
      </c>
      <c r="AC107" s="325">
        <v>0</v>
      </c>
      <c r="AD107" s="325">
        <v>0</v>
      </c>
      <c r="AE107" s="325">
        <v>0</v>
      </c>
      <c r="AF107" s="325">
        <v>0</v>
      </c>
      <c r="AG107" s="325">
        <v>0</v>
      </c>
      <c r="AH107" s="325">
        <v>0</v>
      </c>
      <c r="AI107" s="325">
        <v>0</v>
      </c>
      <c r="AJ107" s="325">
        <v>0</v>
      </c>
      <c r="AK107" s="325">
        <v>0</v>
      </c>
      <c r="AL107" s="325">
        <v>0</v>
      </c>
      <c r="AM107" s="325">
        <v>0</v>
      </c>
      <c r="AN107" s="325">
        <v>0</v>
      </c>
      <c r="AO107" s="325">
        <v>0</v>
      </c>
      <c r="AP107" s="325">
        <v>0</v>
      </c>
      <c r="AQ107" s="325">
        <v>0</v>
      </c>
      <c r="AR107" s="325">
        <v>0</v>
      </c>
      <c r="AS107" s="325">
        <v>0</v>
      </c>
      <c r="AT107" s="325">
        <v>0</v>
      </c>
    </row>
    <row r="108" spans="2:46" ht="13.5">
      <c r="C108" s="324" t="s">
        <v>606</v>
      </c>
      <c r="D108" s="323" t="s">
        <v>584</v>
      </c>
      <c r="E108" s="326">
        <v>0</v>
      </c>
      <c r="F108" s="326">
        <v>0</v>
      </c>
      <c r="G108" s="326">
        <v>-18649.72</v>
      </c>
      <c r="H108" s="326">
        <v>0</v>
      </c>
      <c r="I108" s="326">
        <v>14868</v>
      </c>
      <c r="J108" s="326">
        <v>4235.99</v>
      </c>
      <c r="K108" s="326">
        <v>0</v>
      </c>
      <c r="L108" s="326">
        <v>0</v>
      </c>
      <c r="M108" s="326">
        <v>0</v>
      </c>
      <c r="N108" s="326" t="s">
        <v>586</v>
      </c>
      <c r="O108" s="326">
        <v>0</v>
      </c>
      <c r="P108" s="326">
        <v>0</v>
      </c>
      <c r="Q108" s="326">
        <v>0</v>
      </c>
      <c r="R108" s="326">
        <v>0</v>
      </c>
      <c r="S108" s="326">
        <v>0</v>
      </c>
      <c r="T108" s="326">
        <v>0</v>
      </c>
      <c r="U108" s="326">
        <v>0</v>
      </c>
      <c r="V108" s="326">
        <v>0</v>
      </c>
      <c r="W108" s="326">
        <v>0</v>
      </c>
      <c r="X108" s="326">
        <v>0</v>
      </c>
      <c r="Y108" s="326">
        <v>0</v>
      </c>
      <c r="Z108" s="326">
        <v>0</v>
      </c>
      <c r="AA108" s="326">
        <v>0</v>
      </c>
      <c r="AB108" s="326">
        <v>0</v>
      </c>
      <c r="AC108" s="326">
        <v>0</v>
      </c>
      <c r="AD108" s="326">
        <v>0</v>
      </c>
      <c r="AE108" s="326">
        <v>0</v>
      </c>
      <c r="AF108" s="326">
        <v>0</v>
      </c>
      <c r="AG108" s="326">
        <v>0</v>
      </c>
      <c r="AH108" s="326">
        <v>0</v>
      </c>
      <c r="AI108" s="326">
        <v>0</v>
      </c>
      <c r="AJ108" s="326">
        <v>0</v>
      </c>
      <c r="AK108" s="326">
        <v>454.27</v>
      </c>
      <c r="AL108" s="326">
        <v>0</v>
      </c>
      <c r="AM108" s="326">
        <v>0</v>
      </c>
      <c r="AN108" s="326">
        <v>0</v>
      </c>
      <c r="AO108" s="326">
        <v>0</v>
      </c>
      <c r="AP108" s="326">
        <v>0</v>
      </c>
      <c r="AQ108" s="326">
        <v>0</v>
      </c>
      <c r="AR108" s="326">
        <v>0</v>
      </c>
      <c r="AS108" s="326">
        <v>0</v>
      </c>
      <c r="AT108" s="326">
        <v>0</v>
      </c>
    </row>
    <row r="109" spans="2:46" ht="13.5">
      <c r="C109" s="324" t="s">
        <v>607</v>
      </c>
      <c r="D109" s="323" t="s">
        <v>584</v>
      </c>
      <c r="E109" s="325">
        <v>0</v>
      </c>
      <c r="F109" s="325">
        <v>0</v>
      </c>
      <c r="G109" s="325">
        <v>0</v>
      </c>
      <c r="H109" s="325">
        <v>0</v>
      </c>
      <c r="I109" s="325">
        <v>0</v>
      </c>
      <c r="J109" s="325">
        <v>0</v>
      </c>
      <c r="K109" s="325">
        <v>0</v>
      </c>
      <c r="L109" s="325">
        <v>0</v>
      </c>
      <c r="M109" s="325">
        <v>0</v>
      </c>
      <c r="N109" s="325" t="s">
        <v>586</v>
      </c>
      <c r="O109" s="325">
        <v>0</v>
      </c>
      <c r="P109" s="325">
        <v>0</v>
      </c>
      <c r="Q109" s="325">
        <v>0</v>
      </c>
      <c r="R109" s="325">
        <v>0</v>
      </c>
      <c r="S109" s="325">
        <v>0</v>
      </c>
      <c r="T109" s="325">
        <v>0</v>
      </c>
      <c r="U109" s="325">
        <v>0</v>
      </c>
      <c r="V109" s="325">
        <v>0</v>
      </c>
      <c r="W109" s="325">
        <v>0</v>
      </c>
      <c r="X109" s="325">
        <v>0</v>
      </c>
      <c r="Y109" s="325">
        <v>0</v>
      </c>
      <c r="Z109" s="325">
        <v>0</v>
      </c>
      <c r="AA109" s="325">
        <v>0</v>
      </c>
      <c r="AB109" s="325">
        <v>0</v>
      </c>
      <c r="AC109" s="325">
        <v>0</v>
      </c>
      <c r="AD109" s="325">
        <v>0</v>
      </c>
      <c r="AE109" s="325">
        <v>0</v>
      </c>
      <c r="AF109" s="325">
        <v>0</v>
      </c>
      <c r="AG109" s="325">
        <v>0</v>
      </c>
      <c r="AH109" s="325">
        <v>0</v>
      </c>
      <c r="AI109" s="325">
        <v>0</v>
      </c>
      <c r="AJ109" s="325">
        <v>0</v>
      </c>
      <c r="AK109" s="325">
        <v>0</v>
      </c>
      <c r="AL109" s="325">
        <v>0</v>
      </c>
      <c r="AM109" s="325">
        <v>0</v>
      </c>
      <c r="AN109" s="325">
        <v>0</v>
      </c>
      <c r="AO109" s="325">
        <v>0</v>
      </c>
      <c r="AP109" s="325">
        <v>0</v>
      </c>
      <c r="AQ109" s="325">
        <v>0</v>
      </c>
      <c r="AR109" s="325">
        <v>0</v>
      </c>
      <c r="AS109" s="325">
        <v>0</v>
      </c>
      <c r="AT109" s="325">
        <v>0</v>
      </c>
    </row>
    <row r="110" spans="2:46" ht="13.5">
      <c r="C110" s="324" t="s">
        <v>608</v>
      </c>
      <c r="D110" s="323" t="s">
        <v>584</v>
      </c>
      <c r="E110" s="326">
        <v>0</v>
      </c>
      <c r="F110" s="326">
        <v>0</v>
      </c>
      <c r="G110" s="326">
        <v>0</v>
      </c>
      <c r="H110" s="326">
        <v>0</v>
      </c>
      <c r="I110" s="326">
        <v>0</v>
      </c>
      <c r="J110" s="326">
        <v>0</v>
      </c>
      <c r="K110" s="326">
        <v>0</v>
      </c>
      <c r="L110" s="326">
        <v>0</v>
      </c>
      <c r="M110" s="326">
        <v>0</v>
      </c>
      <c r="N110" s="326" t="s">
        <v>586</v>
      </c>
      <c r="O110" s="326">
        <v>0</v>
      </c>
      <c r="P110" s="326">
        <v>0</v>
      </c>
      <c r="Q110" s="326">
        <v>0</v>
      </c>
      <c r="R110" s="326">
        <v>0</v>
      </c>
      <c r="S110" s="326">
        <v>0</v>
      </c>
      <c r="T110" s="326">
        <v>0</v>
      </c>
      <c r="U110" s="326">
        <v>0</v>
      </c>
      <c r="V110" s="326">
        <v>0</v>
      </c>
      <c r="W110" s="326">
        <v>0</v>
      </c>
      <c r="X110" s="326">
        <v>0</v>
      </c>
      <c r="Y110" s="326">
        <v>0</v>
      </c>
      <c r="Z110" s="326">
        <v>0</v>
      </c>
      <c r="AA110" s="326">
        <v>0</v>
      </c>
      <c r="AB110" s="326">
        <v>0</v>
      </c>
      <c r="AC110" s="326">
        <v>0</v>
      </c>
      <c r="AD110" s="326">
        <v>0</v>
      </c>
      <c r="AE110" s="326">
        <v>0</v>
      </c>
      <c r="AF110" s="326">
        <v>0</v>
      </c>
      <c r="AG110" s="326">
        <v>0</v>
      </c>
      <c r="AH110" s="326">
        <v>0</v>
      </c>
      <c r="AI110" s="326">
        <v>0</v>
      </c>
      <c r="AJ110" s="326">
        <v>0</v>
      </c>
      <c r="AK110" s="326">
        <v>0</v>
      </c>
      <c r="AL110" s="326">
        <v>0</v>
      </c>
      <c r="AM110" s="326">
        <v>0</v>
      </c>
      <c r="AN110" s="326">
        <v>0</v>
      </c>
      <c r="AO110" s="326">
        <v>0</v>
      </c>
      <c r="AP110" s="326">
        <v>0</v>
      </c>
      <c r="AQ110" s="326">
        <v>0</v>
      </c>
      <c r="AR110" s="326">
        <v>0</v>
      </c>
      <c r="AS110" s="326">
        <v>0</v>
      </c>
      <c r="AT110" s="326">
        <v>0</v>
      </c>
    </row>
    <row r="111" spans="2:46" ht="13.5">
      <c r="C111" s="324" t="s">
        <v>609</v>
      </c>
      <c r="D111" s="323" t="s">
        <v>584</v>
      </c>
      <c r="E111" s="325">
        <v>0</v>
      </c>
      <c r="F111" s="325">
        <v>0</v>
      </c>
      <c r="G111" s="325">
        <v>0</v>
      </c>
      <c r="H111" s="325">
        <v>0</v>
      </c>
      <c r="I111" s="325">
        <v>0</v>
      </c>
      <c r="J111" s="325">
        <v>0</v>
      </c>
      <c r="K111" s="325">
        <v>0</v>
      </c>
      <c r="L111" s="325">
        <v>0</v>
      </c>
      <c r="M111" s="325">
        <v>0</v>
      </c>
      <c r="N111" s="325" t="s">
        <v>586</v>
      </c>
      <c r="O111" s="325">
        <v>-234071.64</v>
      </c>
      <c r="P111" s="325">
        <v>0</v>
      </c>
      <c r="Q111" s="325">
        <v>-9113.99</v>
      </c>
      <c r="R111" s="325">
        <v>13756.61</v>
      </c>
      <c r="S111" s="325">
        <v>0</v>
      </c>
      <c r="T111" s="325">
        <v>0</v>
      </c>
      <c r="U111" s="325">
        <v>0</v>
      </c>
      <c r="V111" s="325">
        <v>0</v>
      </c>
      <c r="W111" s="325">
        <v>20661.02</v>
      </c>
      <c r="X111" s="325">
        <v>0</v>
      </c>
      <c r="Y111" s="325">
        <v>0</v>
      </c>
      <c r="Z111" s="325">
        <v>3957.61</v>
      </c>
      <c r="AA111" s="325">
        <v>0</v>
      </c>
      <c r="AB111" s="325">
        <v>3039.99</v>
      </c>
      <c r="AC111" s="325">
        <v>0</v>
      </c>
      <c r="AD111" s="325">
        <v>0</v>
      </c>
      <c r="AE111" s="325">
        <v>0</v>
      </c>
      <c r="AF111" s="325">
        <v>0</v>
      </c>
      <c r="AG111" s="325">
        <v>0</v>
      </c>
      <c r="AH111" s="325">
        <v>0</v>
      </c>
      <c r="AI111" s="325">
        <v>0</v>
      </c>
      <c r="AJ111" s="325">
        <v>0</v>
      </c>
      <c r="AK111" s="325">
        <v>1792.54</v>
      </c>
      <c r="AL111" s="325">
        <v>0</v>
      </c>
      <c r="AM111" s="325">
        <v>0</v>
      </c>
      <c r="AN111" s="325">
        <v>0</v>
      </c>
      <c r="AO111" s="325">
        <v>0</v>
      </c>
      <c r="AP111" s="325">
        <v>64402.400000000001</v>
      </c>
      <c r="AQ111" s="325">
        <v>47570.51</v>
      </c>
      <c r="AR111" s="325">
        <v>91590.02</v>
      </c>
      <c r="AS111" s="325">
        <v>0</v>
      </c>
      <c r="AT111" s="325">
        <v>0</v>
      </c>
    </row>
    <row r="112" spans="2:46" ht="13.5">
      <c r="C112" s="324" t="s">
        <v>610</v>
      </c>
      <c r="D112" s="323" t="s">
        <v>584</v>
      </c>
      <c r="E112" s="326">
        <v>0</v>
      </c>
      <c r="F112" s="326">
        <v>0</v>
      </c>
      <c r="G112" s="326">
        <v>0</v>
      </c>
      <c r="H112" s="326">
        <v>0</v>
      </c>
      <c r="I112" s="326">
        <v>0</v>
      </c>
      <c r="J112" s="326">
        <v>0</v>
      </c>
      <c r="K112" s="326">
        <v>0</v>
      </c>
      <c r="L112" s="326">
        <v>0</v>
      </c>
      <c r="M112" s="326">
        <v>0</v>
      </c>
      <c r="N112" s="326" t="s">
        <v>586</v>
      </c>
      <c r="O112" s="326">
        <v>0</v>
      </c>
      <c r="P112" s="326">
        <v>0</v>
      </c>
      <c r="Q112" s="326">
        <v>0</v>
      </c>
      <c r="R112" s="326">
        <v>0</v>
      </c>
      <c r="S112" s="326">
        <v>0</v>
      </c>
      <c r="T112" s="326">
        <v>0</v>
      </c>
      <c r="U112" s="326">
        <v>0</v>
      </c>
      <c r="V112" s="326">
        <v>0</v>
      </c>
      <c r="W112" s="326">
        <v>0</v>
      </c>
      <c r="X112" s="326">
        <v>0</v>
      </c>
      <c r="Y112" s="326">
        <v>0</v>
      </c>
      <c r="Z112" s="326">
        <v>0</v>
      </c>
      <c r="AA112" s="326">
        <v>0</v>
      </c>
      <c r="AB112" s="326">
        <v>0</v>
      </c>
      <c r="AC112" s="326">
        <v>0</v>
      </c>
      <c r="AD112" s="326">
        <v>0</v>
      </c>
      <c r="AE112" s="326">
        <v>0</v>
      </c>
      <c r="AF112" s="326">
        <v>0</v>
      </c>
      <c r="AG112" s="326">
        <v>0</v>
      </c>
      <c r="AH112" s="326">
        <v>0</v>
      </c>
      <c r="AI112" s="326">
        <v>0</v>
      </c>
      <c r="AJ112" s="326">
        <v>0</v>
      </c>
      <c r="AK112" s="326">
        <v>0</v>
      </c>
      <c r="AL112" s="326">
        <v>0</v>
      </c>
      <c r="AM112" s="326">
        <v>0</v>
      </c>
      <c r="AN112" s="326">
        <v>0</v>
      </c>
      <c r="AO112" s="326">
        <v>0</v>
      </c>
      <c r="AP112" s="326">
        <v>0</v>
      </c>
      <c r="AQ112" s="326">
        <v>0</v>
      </c>
      <c r="AR112" s="326">
        <v>0</v>
      </c>
      <c r="AS112" s="326">
        <v>0</v>
      </c>
      <c r="AT112" s="326">
        <v>0</v>
      </c>
    </row>
    <row r="113" spans="3:46" ht="13.5">
      <c r="C113" s="324" t="s">
        <v>611</v>
      </c>
      <c r="D113" s="323" t="s">
        <v>584</v>
      </c>
      <c r="E113" s="325">
        <v>0</v>
      </c>
      <c r="F113" s="325">
        <v>0</v>
      </c>
      <c r="G113" s="325">
        <v>0</v>
      </c>
      <c r="H113" s="325">
        <v>0</v>
      </c>
      <c r="I113" s="325">
        <v>0</v>
      </c>
      <c r="J113" s="325">
        <v>0</v>
      </c>
      <c r="K113" s="325">
        <v>0</v>
      </c>
      <c r="L113" s="325">
        <v>0</v>
      </c>
      <c r="M113" s="325">
        <v>0</v>
      </c>
      <c r="N113" s="325" t="s">
        <v>586</v>
      </c>
      <c r="O113" s="325">
        <v>0</v>
      </c>
      <c r="P113" s="325">
        <v>0</v>
      </c>
      <c r="Q113" s="325">
        <v>0</v>
      </c>
      <c r="R113" s="325">
        <v>0</v>
      </c>
      <c r="S113" s="325">
        <v>0</v>
      </c>
      <c r="T113" s="325">
        <v>0</v>
      </c>
      <c r="U113" s="325">
        <v>0</v>
      </c>
      <c r="V113" s="325">
        <v>0</v>
      </c>
      <c r="W113" s="325">
        <v>0</v>
      </c>
      <c r="X113" s="325">
        <v>0</v>
      </c>
      <c r="Y113" s="325">
        <v>0</v>
      </c>
      <c r="Z113" s="325">
        <v>0</v>
      </c>
      <c r="AA113" s="325">
        <v>0</v>
      </c>
      <c r="AB113" s="325">
        <v>0</v>
      </c>
      <c r="AC113" s="325">
        <v>0</v>
      </c>
      <c r="AD113" s="325">
        <v>0</v>
      </c>
      <c r="AE113" s="325">
        <v>0</v>
      </c>
      <c r="AF113" s="325">
        <v>0</v>
      </c>
      <c r="AG113" s="325">
        <v>0</v>
      </c>
      <c r="AH113" s="325">
        <v>0</v>
      </c>
      <c r="AI113" s="325">
        <v>0</v>
      </c>
      <c r="AJ113" s="325">
        <v>0</v>
      </c>
      <c r="AK113" s="325">
        <v>0</v>
      </c>
      <c r="AL113" s="325">
        <v>0</v>
      </c>
      <c r="AM113" s="325">
        <v>0</v>
      </c>
      <c r="AN113" s="325">
        <v>0</v>
      </c>
      <c r="AO113" s="325">
        <v>0</v>
      </c>
      <c r="AP113" s="325">
        <v>0</v>
      </c>
      <c r="AQ113" s="325">
        <v>0</v>
      </c>
      <c r="AR113" s="325">
        <v>0</v>
      </c>
      <c r="AS113" s="325">
        <v>0</v>
      </c>
      <c r="AT113" s="325">
        <v>0</v>
      </c>
    </row>
    <row r="114" spans="3:46" ht="13.5">
      <c r="C114" s="324" t="s">
        <v>612</v>
      </c>
      <c r="D114" s="323" t="s">
        <v>584</v>
      </c>
      <c r="E114" s="326">
        <v>0</v>
      </c>
      <c r="F114" s="326">
        <v>0</v>
      </c>
      <c r="G114" s="326">
        <v>0</v>
      </c>
      <c r="H114" s="326">
        <v>0</v>
      </c>
      <c r="I114" s="326">
        <v>0</v>
      </c>
      <c r="J114" s="326">
        <v>0</v>
      </c>
      <c r="K114" s="326">
        <v>0</v>
      </c>
      <c r="L114" s="326">
        <v>0</v>
      </c>
      <c r="M114" s="326">
        <v>0</v>
      </c>
      <c r="N114" s="326" t="s">
        <v>586</v>
      </c>
      <c r="O114" s="326">
        <v>0</v>
      </c>
      <c r="P114" s="326">
        <v>0</v>
      </c>
      <c r="Q114" s="326">
        <v>0</v>
      </c>
      <c r="R114" s="326">
        <v>0</v>
      </c>
      <c r="S114" s="326">
        <v>0</v>
      </c>
      <c r="T114" s="326">
        <v>0</v>
      </c>
      <c r="U114" s="326">
        <v>0</v>
      </c>
      <c r="V114" s="326">
        <v>0</v>
      </c>
      <c r="W114" s="326">
        <v>0</v>
      </c>
      <c r="X114" s="326">
        <v>0</v>
      </c>
      <c r="Y114" s="326">
        <v>0</v>
      </c>
      <c r="Z114" s="326">
        <v>0</v>
      </c>
      <c r="AA114" s="326">
        <v>0</v>
      </c>
      <c r="AB114" s="326">
        <v>0</v>
      </c>
      <c r="AC114" s="326">
        <v>0</v>
      </c>
      <c r="AD114" s="326">
        <v>0</v>
      </c>
      <c r="AE114" s="326">
        <v>0</v>
      </c>
      <c r="AF114" s="326">
        <v>0</v>
      </c>
      <c r="AG114" s="326">
        <v>0</v>
      </c>
      <c r="AH114" s="326">
        <v>0</v>
      </c>
      <c r="AI114" s="326">
        <v>0</v>
      </c>
      <c r="AJ114" s="326">
        <v>0</v>
      </c>
      <c r="AK114" s="326">
        <v>0</v>
      </c>
      <c r="AL114" s="326">
        <v>0</v>
      </c>
      <c r="AM114" s="326">
        <v>0</v>
      </c>
      <c r="AN114" s="326">
        <v>0</v>
      </c>
      <c r="AO114" s="326">
        <v>0</v>
      </c>
      <c r="AP114" s="326">
        <v>0</v>
      </c>
      <c r="AQ114" s="326">
        <v>0</v>
      </c>
      <c r="AR114" s="326">
        <v>0</v>
      </c>
      <c r="AS114" s="326">
        <v>0</v>
      </c>
      <c r="AT114" s="326">
        <v>0</v>
      </c>
    </row>
    <row r="115" spans="3:46" ht="13.5">
      <c r="C115" s="324" t="s">
        <v>613</v>
      </c>
      <c r="D115" s="323" t="s">
        <v>584</v>
      </c>
      <c r="E115" s="325">
        <v>0</v>
      </c>
      <c r="F115" s="325">
        <v>0</v>
      </c>
      <c r="G115" s="325">
        <v>0</v>
      </c>
      <c r="H115" s="325">
        <v>0</v>
      </c>
      <c r="I115" s="325">
        <v>0</v>
      </c>
      <c r="J115" s="325">
        <v>0</v>
      </c>
      <c r="K115" s="325">
        <v>0</v>
      </c>
      <c r="L115" s="325">
        <v>0</v>
      </c>
      <c r="M115" s="325">
        <v>0</v>
      </c>
      <c r="N115" s="325" t="s">
        <v>586</v>
      </c>
      <c r="O115" s="325">
        <v>0</v>
      </c>
      <c r="P115" s="325">
        <v>0</v>
      </c>
      <c r="Q115" s="325">
        <v>0</v>
      </c>
      <c r="R115" s="325">
        <v>0</v>
      </c>
      <c r="S115" s="325">
        <v>0</v>
      </c>
      <c r="T115" s="325">
        <v>0</v>
      </c>
      <c r="U115" s="325">
        <v>0</v>
      </c>
      <c r="V115" s="325">
        <v>0</v>
      </c>
      <c r="W115" s="325">
        <v>0</v>
      </c>
      <c r="X115" s="325">
        <v>0</v>
      </c>
      <c r="Y115" s="325">
        <v>0</v>
      </c>
      <c r="Z115" s="325">
        <v>0</v>
      </c>
      <c r="AA115" s="325">
        <v>0</v>
      </c>
      <c r="AB115" s="325">
        <v>0</v>
      </c>
      <c r="AC115" s="325">
        <v>0</v>
      </c>
      <c r="AD115" s="325">
        <v>0</v>
      </c>
      <c r="AE115" s="325">
        <v>0</v>
      </c>
      <c r="AF115" s="325">
        <v>0</v>
      </c>
      <c r="AG115" s="325">
        <v>0</v>
      </c>
      <c r="AH115" s="325">
        <v>0</v>
      </c>
      <c r="AI115" s="325">
        <v>0</v>
      </c>
      <c r="AJ115" s="325">
        <v>0</v>
      </c>
      <c r="AK115" s="325">
        <v>0</v>
      </c>
      <c r="AL115" s="325">
        <v>0</v>
      </c>
      <c r="AM115" s="325">
        <v>0</v>
      </c>
      <c r="AN115" s="325">
        <v>0</v>
      </c>
      <c r="AO115" s="325">
        <v>0</v>
      </c>
      <c r="AP115" s="325">
        <v>0</v>
      </c>
      <c r="AQ115" s="325">
        <v>0</v>
      </c>
      <c r="AR115" s="325">
        <v>0</v>
      </c>
      <c r="AS115" s="325">
        <v>0</v>
      </c>
      <c r="AT115" s="325">
        <v>0</v>
      </c>
    </row>
    <row r="116" spans="3:46" ht="13.5">
      <c r="C116" s="324" t="s">
        <v>614</v>
      </c>
      <c r="D116" s="323" t="s">
        <v>584</v>
      </c>
      <c r="E116" s="326">
        <v>0</v>
      </c>
      <c r="F116" s="326">
        <v>0</v>
      </c>
      <c r="G116" s="326">
        <v>0</v>
      </c>
      <c r="H116" s="326">
        <v>0</v>
      </c>
      <c r="I116" s="326">
        <v>0</v>
      </c>
      <c r="J116" s="326">
        <v>0</v>
      </c>
      <c r="K116" s="326">
        <v>0</v>
      </c>
      <c r="L116" s="326">
        <v>0</v>
      </c>
      <c r="M116" s="326">
        <v>0</v>
      </c>
      <c r="N116" s="326" t="s">
        <v>586</v>
      </c>
      <c r="O116" s="326">
        <v>0</v>
      </c>
      <c r="P116" s="326">
        <v>0</v>
      </c>
      <c r="Q116" s="326">
        <v>0</v>
      </c>
      <c r="R116" s="326">
        <v>0</v>
      </c>
      <c r="S116" s="326">
        <v>0</v>
      </c>
      <c r="T116" s="326">
        <v>0</v>
      </c>
      <c r="U116" s="326">
        <v>0</v>
      </c>
      <c r="V116" s="326">
        <v>0</v>
      </c>
      <c r="W116" s="326">
        <v>0</v>
      </c>
      <c r="X116" s="326">
        <v>0</v>
      </c>
      <c r="Y116" s="326">
        <v>0</v>
      </c>
      <c r="Z116" s="326">
        <v>0</v>
      </c>
      <c r="AA116" s="326">
        <v>0</v>
      </c>
      <c r="AB116" s="326">
        <v>0</v>
      </c>
      <c r="AC116" s="326">
        <v>0</v>
      </c>
      <c r="AD116" s="326">
        <v>0</v>
      </c>
      <c r="AE116" s="326">
        <v>0</v>
      </c>
      <c r="AF116" s="326">
        <v>0</v>
      </c>
      <c r="AG116" s="326">
        <v>0</v>
      </c>
      <c r="AH116" s="326">
        <v>0</v>
      </c>
      <c r="AI116" s="326">
        <v>0</v>
      </c>
      <c r="AJ116" s="326">
        <v>0</v>
      </c>
      <c r="AK116" s="326">
        <v>0</v>
      </c>
      <c r="AL116" s="326">
        <v>0</v>
      </c>
      <c r="AM116" s="326">
        <v>0</v>
      </c>
      <c r="AN116" s="326">
        <v>0</v>
      </c>
      <c r="AO116" s="326">
        <v>0</v>
      </c>
      <c r="AP116" s="326">
        <v>0</v>
      </c>
      <c r="AQ116" s="326">
        <v>0</v>
      </c>
      <c r="AR116" s="326">
        <v>0</v>
      </c>
      <c r="AS116" s="326">
        <v>0</v>
      </c>
      <c r="AT116" s="326">
        <v>0</v>
      </c>
    </row>
    <row r="117" spans="3:46" ht="13.5">
      <c r="C117" s="324" t="s">
        <v>615</v>
      </c>
      <c r="D117" s="323" t="s">
        <v>584</v>
      </c>
      <c r="E117" s="325">
        <v>0</v>
      </c>
      <c r="F117" s="325">
        <v>0</v>
      </c>
      <c r="G117" s="325">
        <v>0</v>
      </c>
      <c r="H117" s="325">
        <v>0</v>
      </c>
      <c r="I117" s="325">
        <v>0</v>
      </c>
      <c r="J117" s="325">
        <v>0</v>
      </c>
      <c r="K117" s="325">
        <v>0</v>
      </c>
      <c r="L117" s="325">
        <v>0</v>
      </c>
      <c r="M117" s="325">
        <v>0</v>
      </c>
      <c r="N117" s="325" t="s">
        <v>586</v>
      </c>
      <c r="O117" s="325">
        <v>0</v>
      </c>
      <c r="P117" s="325">
        <v>0</v>
      </c>
      <c r="Q117" s="325">
        <v>0</v>
      </c>
      <c r="R117" s="325">
        <v>0</v>
      </c>
      <c r="S117" s="325">
        <v>0</v>
      </c>
      <c r="T117" s="325">
        <v>0</v>
      </c>
      <c r="U117" s="325">
        <v>0</v>
      </c>
      <c r="V117" s="325">
        <v>0</v>
      </c>
      <c r="W117" s="325">
        <v>0</v>
      </c>
      <c r="X117" s="325">
        <v>0</v>
      </c>
      <c r="Y117" s="325">
        <v>0</v>
      </c>
      <c r="Z117" s="325">
        <v>0</v>
      </c>
      <c r="AA117" s="325">
        <v>0</v>
      </c>
      <c r="AB117" s="325">
        <v>0</v>
      </c>
      <c r="AC117" s="325">
        <v>0</v>
      </c>
      <c r="AD117" s="325">
        <v>0</v>
      </c>
      <c r="AE117" s="325">
        <v>0</v>
      </c>
      <c r="AF117" s="325">
        <v>0</v>
      </c>
      <c r="AG117" s="325">
        <v>0</v>
      </c>
      <c r="AH117" s="325">
        <v>0</v>
      </c>
      <c r="AI117" s="325">
        <v>0</v>
      </c>
      <c r="AJ117" s="325">
        <v>0</v>
      </c>
      <c r="AK117" s="325">
        <v>0</v>
      </c>
      <c r="AL117" s="325">
        <v>0</v>
      </c>
      <c r="AM117" s="325">
        <v>0</v>
      </c>
      <c r="AN117" s="325">
        <v>0</v>
      </c>
      <c r="AO117" s="325">
        <v>0</v>
      </c>
      <c r="AP117" s="325">
        <v>0</v>
      </c>
      <c r="AQ117" s="325">
        <v>0</v>
      </c>
      <c r="AR117" s="325">
        <v>0</v>
      </c>
      <c r="AS117" s="325">
        <v>0</v>
      </c>
      <c r="AT117" s="325">
        <v>0</v>
      </c>
    </row>
    <row r="118" spans="3:46" ht="13.5">
      <c r="C118" s="324" t="s">
        <v>616</v>
      </c>
      <c r="D118" s="323" t="s">
        <v>584</v>
      </c>
      <c r="E118" s="326">
        <v>0</v>
      </c>
      <c r="F118" s="326">
        <v>0</v>
      </c>
      <c r="G118" s="326">
        <v>-904.73</v>
      </c>
      <c r="H118" s="326">
        <v>0</v>
      </c>
      <c r="I118" s="326">
        <v>0</v>
      </c>
      <c r="J118" s="326">
        <v>-1694.23</v>
      </c>
      <c r="K118" s="326">
        <v>-350.94</v>
      </c>
      <c r="L118" s="326">
        <v>0</v>
      </c>
      <c r="M118" s="326">
        <v>-8723.91</v>
      </c>
      <c r="N118" s="326" t="s">
        <v>586</v>
      </c>
      <c r="O118" s="326">
        <v>0</v>
      </c>
      <c r="P118" s="326">
        <v>0</v>
      </c>
      <c r="Q118" s="326">
        <v>0</v>
      </c>
      <c r="R118" s="326">
        <v>-13756.61</v>
      </c>
      <c r="S118" s="326">
        <v>0</v>
      </c>
      <c r="T118" s="326">
        <v>0</v>
      </c>
      <c r="U118" s="326">
        <v>0</v>
      </c>
      <c r="V118" s="326">
        <v>0</v>
      </c>
      <c r="W118" s="326">
        <v>0</v>
      </c>
      <c r="X118" s="326">
        <v>0</v>
      </c>
      <c r="Y118" s="326">
        <v>0</v>
      </c>
      <c r="Z118" s="326">
        <v>0</v>
      </c>
      <c r="AA118" s="326">
        <v>0</v>
      </c>
      <c r="AB118" s="326">
        <v>-1680</v>
      </c>
      <c r="AC118" s="326">
        <v>0</v>
      </c>
      <c r="AD118" s="326">
        <v>0</v>
      </c>
      <c r="AE118" s="326">
        <v>0</v>
      </c>
      <c r="AF118" s="326">
        <v>0</v>
      </c>
      <c r="AG118" s="326">
        <v>0</v>
      </c>
      <c r="AH118" s="326">
        <v>0</v>
      </c>
      <c r="AI118" s="326">
        <v>-7330.92</v>
      </c>
      <c r="AJ118" s="326">
        <v>0</v>
      </c>
      <c r="AK118" s="326">
        <v>-34441.33</v>
      </c>
      <c r="AL118" s="326">
        <v>0</v>
      </c>
      <c r="AM118" s="326">
        <v>0</v>
      </c>
      <c r="AN118" s="326">
        <v>0</v>
      </c>
      <c r="AO118" s="326">
        <v>0</v>
      </c>
      <c r="AP118" s="326">
        <v>0</v>
      </c>
      <c r="AQ118" s="326">
        <v>0</v>
      </c>
      <c r="AR118" s="326">
        <v>0</v>
      </c>
      <c r="AS118" s="326">
        <v>0</v>
      </c>
      <c r="AT118" s="326">
        <v>0</v>
      </c>
    </row>
    <row r="119" spans="3:46" ht="13.5">
      <c r="C119" s="324" t="s">
        <v>617</v>
      </c>
      <c r="D119" s="323" t="s">
        <v>584</v>
      </c>
      <c r="E119" s="325">
        <v>0</v>
      </c>
      <c r="F119" s="325">
        <v>0</v>
      </c>
      <c r="G119" s="325">
        <v>-904.73</v>
      </c>
      <c r="H119" s="325">
        <v>0</v>
      </c>
      <c r="I119" s="325">
        <v>0</v>
      </c>
      <c r="J119" s="325">
        <v>0</v>
      </c>
      <c r="K119" s="325">
        <v>0</v>
      </c>
      <c r="L119" s="325">
        <v>0</v>
      </c>
      <c r="M119" s="325">
        <v>0</v>
      </c>
      <c r="N119" s="325" t="s">
        <v>586</v>
      </c>
      <c r="O119" s="325">
        <v>0</v>
      </c>
      <c r="P119" s="325">
        <v>0</v>
      </c>
      <c r="Q119" s="325">
        <v>0</v>
      </c>
      <c r="R119" s="325">
        <v>0</v>
      </c>
      <c r="S119" s="325">
        <v>0</v>
      </c>
      <c r="T119" s="325">
        <v>0</v>
      </c>
      <c r="U119" s="325">
        <v>0</v>
      </c>
      <c r="V119" s="325">
        <v>0</v>
      </c>
      <c r="W119" s="325">
        <v>0</v>
      </c>
      <c r="X119" s="325">
        <v>0</v>
      </c>
      <c r="Y119" s="325">
        <v>0</v>
      </c>
      <c r="Z119" s="325">
        <v>0</v>
      </c>
      <c r="AA119" s="325">
        <v>0</v>
      </c>
      <c r="AB119" s="325">
        <v>0</v>
      </c>
      <c r="AC119" s="325">
        <v>0</v>
      </c>
      <c r="AD119" s="325">
        <v>0</v>
      </c>
      <c r="AE119" s="325">
        <v>0</v>
      </c>
      <c r="AF119" s="325">
        <v>0</v>
      </c>
      <c r="AG119" s="325">
        <v>0</v>
      </c>
      <c r="AH119" s="325">
        <v>0</v>
      </c>
      <c r="AI119" s="325">
        <v>-165.63</v>
      </c>
      <c r="AJ119" s="325">
        <v>0</v>
      </c>
      <c r="AK119" s="325">
        <v>-1070.3599999999999</v>
      </c>
      <c r="AL119" s="325">
        <v>0</v>
      </c>
      <c r="AM119" s="325">
        <v>0</v>
      </c>
      <c r="AN119" s="325">
        <v>0</v>
      </c>
      <c r="AO119" s="325">
        <v>0</v>
      </c>
      <c r="AP119" s="325">
        <v>0</v>
      </c>
      <c r="AQ119" s="325">
        <v>0</v>
      </c>
      <c r="AR119" s="325">
        <v>0</v>
      </c>
      <c r="AS119" s="325">
        <v>0</v>
      </c>
      <c r="AT119" s="325">
        <v>0</v>
      </c>
    </row>
    <row r="120" spans="3:46" ht="13.5">
      <c r="C120" s="324" t="s">
        <v>618</v>
      </c>
      <c r="D120" s="323" t="s">
        <v>584</v>
      </c>
      <c r="E120" s="326">
        <v>0</v>
      </c>
      <c r="F120" s="326">
        <v>0</v>
      </c>
      <c r="G120" s="326">
        <v>0</v>
      </c>
      <c r="H120" s="326">
        <v>0</v>
      </c>
      <c r="I120" s="326">
        <v>0</v>
      </c>
      <c r="J120" s="326">
        <v>0</v>
      </c>
      <c r="K120" s="326">
        <v>0</v>
      </c>
      <c r="L120" s="326">
        <v>0</v>
      </c>
      <c r="M120" s="326">
        <v>-5238.3100000000004</v>
      </c>
      <c r="N120" s="326" t="s">
        <v>586</v>
      </c>
      <c r="O120" s="326">
        <v>0</v>
      </c>
      <c r="P120" s="326">
        <v>0</v>
      </c>
      <c r="Q120" s="326">
        <v>0</v>
      </c>
      <c r="R120" s="326">
        <v>0</v>
      </c>
      <c r="S120" s="326">
        <v>0</v>
      </c>
      <c r="T120" s="326">
        <v>0</v>
      </c>
      <c r="U120" s="326">
        <v>0</v>
      </c>
      <c r="V120" s="326">
        <v>0</v>
      </c>
      <c r="W120" s="326">
        <v>0</v>
      </c>
      <c r="X120" s="326">
        <v>0</v>
      </c>
      <c r="Y120" s="326">
        <v>0</v>
      </c>
      <c r="Z120" s="326">
        <v>0</v>
      </c>
      <c r="AA120" s="326">
        <v>0</v>
      </c>
      <c r="AB120" s="326">
        <v>0</v>
      </c>
      <c r="AC120" s="326">
        <v>0</v>
      </c>
      <c r="AD120" s="326">
        <v>0</v>
      </c>
      <c r="AE120" s="326">
        <v>0</v>
      </c>
      <c r="AF120" s="326">
        <v>0</v>
      </c>
      <c r="AG120" s="326">
        <v>0</v>
      </c>
      <c r="AH120" s="326">
        <v>0</v>
      </c>
      <c r="AI120" s="326">
        <v>-198.04</v>
      </c>
      <c r="AJ120" s="326">
        <v>0</v>
      </c>
      <c r="AK120" s="326">
        <v>-5436.35</v>
      </c>
      <c r="AL120" s="326">
        <v>0</v>
      </c>
      <c r="AM120" s="326">
        <v>0</v>
      </c>
      <c r="AN120" s="326">
        <v>0</v>
      </c>
      <c r="AO120" s="326">
        <v>0</v>
      </c>
      <c r="AP120" s="326">
        <v>0</v>
      </c>
      <c r="AQ120" s="326">
        <v>0</v>
      </c>
      <c r="AR120" s="326">
        <v>0</v>
      </c>
      <c r="AS120" s="326">
        <v>0</v>
      </c>
      <c r="AT120" s="326">
        <v>0</v>
      </c>
    </row>
    <row r="121" spans="3:46" ht="13.5">
      <c r="C121" s="324" t="s">
        <v>619</v>
      </c>
      <c r="D121" s="323" t="s">
        <v>584</v>
      </c>
      <c r="E121" s="325">
        <v>0</v>
      </c>
      <c r="F121" s="325">
        <v>0</v>
      </c>
      <c r="G121" s="325">
        <v>0</v>
      </c>
      <c r="H121" s="325">
        <v>0</v>
      </c>
      <c r="I121" s="325">
        <v>0</v>
      </c>
      <c r="J121" s="325">
        <v>0</v>
      </c>
      <c r="K121" s="325">
        <v>0</v>
      </c>
      <c r="L121" s="325">
        <v>0</v>
      </c>
      <c r="M121" s="325">
        <v>0</v>
      </c>
      <c r="N121" s="325" t="s">
        <v>586</v>
      </c>
      <c r="O121" s="325">
        <v>0</v>
      </c>
      <c r="P121" s="325">
        <v>0</v>
      </c>
      <c r="Q121" s="325">
        <v>0</v>
      </c>
      <c r="R121" s="325">
        <v>0</v>
      </c>
      <c r="S121" s="325">
        <v>0</v>
      </c>
      <c r="T121" s="325">
        <v>0</v>
      </c>
      <c r="U121" s="325">
        <v>0</v>
      </c>
      <c r="V121" s="325">
        <v>0</v>
      </c>
      <c r="W121" s="325">
        <v>0</v>
      </c>
      <c r="X121" s="325">
        <v>0</v>
      </c>
      <c r="Y121" s="325">
        <v>0</v>
      </c>
      <c r="Z121" s="325">
        <v>0</v>
      </c>
      <c r="AA121" s="325">
        <v>0</v>
      </c>
      <c r="AB121" s="325">
        <v>0</v>
      </c>
      <c r="AC121" s="325">
        <v>0</v>
      </c>
      <c r="AD121" s="325">
        <v>0</v>
      </c>
      <c r="AE121" s="325">
        <v>0</v>
      </c>
      <c r="AF121" s="325">
        <v>0</v>
      </c>
      <c r="AG121" s="325">
        <v>0</v>
      </c>
      <c r="AH121" s="325">
        <v>0</v>
      </c>
      <c r="AI121" s="325">
        <v>0</v>
      </c>
      <c r="AJ121" s="325">
        <v>0</v>
      </c>
      <c r="AK121" s="325">
        <v>0</v>
      </c>
      <c r="AL121" s="325">
        <v>0</v>
      </c>
      <c r="AM121" s="325">
        <v>0</v>
      </c>
      <c r="AN121" s="325">
        <v>0</v>
      </c>
      <c r="AO121" s="325">
        <v>0</v>
      </c>
      <c r="AP121" s="325">
        <v>0</v>
      </c>
      <c r="AQ121" s="325">
        <v>0</v>
      </c>
      <c r="AR121" s="325">
        <v>0</v>
      </c>
      <c r="AS121" s="325">
        <v>0</v>
      </c>
      <c r="AT121" s="325">
        <v>0</v>
      </c>
    </row>
    <row r="122" spans="3:46" ht="13.5">
      <c r="C122" s="324" t="s">
        <v>620</v>
      </c>
      <c r="D122" s="323" t="s">
        <v>584</v>
      </c>
      <c r="E122" s="326">
        <v>0</v>
      </c>
      <c r="F122" s="326">
        <v>0</v>
      </c>
      <c r="G122" s="326">
        <v>0</v>
      </c>
      <c r="H122" s="326">
        <v>0</v>
      </c>
      <c r="I122" s="326">
        <v>0</v>
      </c>
      <c r="J122" s="326">
        <v>0</v>
      </c>
      <c r="K122" s="326">
        <v>0</v>
      </c>
      <c r="L122" s="326">
        <v>0</v>
      </c>
      <c r="M122" s="326">
        <v>0</v>
      </c>
      <c r="N122" s="326" t="s">
        <v>586</v>
      </c>
      <c r="O122" s="326">
        <v>0</v>
      </c>
      <c r="P122" s="326">
        <v>0</v>
      </c>
      <c r="Q122" s="326">
        <v>0</v>
      </c>
      <c r="R122" s="326">
        <v>0</v>
      </c>
      <c r="S122" s="326">
        <v>0</v>
      </c>
      <c r="T122" s="326">
        <v>0</v>
      </c>
      <c r="U122" s="326">
        <v>0</v>
      </c>
      <c r="V122" s="326">
        <v>0</v>
      </c>
      <c r="W122" s="326">
        <v>0</v>
      </c>
      <c r="X122" s="326">
        <v>0</v>
      </c>
      <c r="Y122" s="326">
        <v>0</v>
      </c>
      <c r="Z122" s="326">
        <v>0</v>
      </c>
      <c r="AA122" s="326">
        <v>0</v>
      </c>
      <c r="AB122" s="326">
        <v>0</v>
      </c>
      <c r="AC122" s="326">
        <v>0</v>
      </c>
      <c r="AD122" s="326">
        <v>0</v>
      </c>
      <c r="AE122" s="326">
        <v>0</v>
      </c>
      <c r="AF122" s="326">
        <v>0</v>
      </c>
      <c r="AG122" s="326">
        <v>0</v>
      </c>
      <c r="AH122" s="326">
        <v>0</v>
      </c>
      <c r="AI122" s="326">
        <v>0</v>
      </c>
      <c r="AJ122" s="326">
        <v>0</v>
      </c>
      <c r="AK122" s="326">
        <v>0</v>
      </c>
      <c r="AL122" s="326">
        <v>0</v>
      </c>
      <c r="AM122" s="326">
        <v>0</v>
      </c>
      <c r="AN122" s="326">
        <v>0</v>
      </c>
      <c r="AO122" s="326">
        <v>0</v>
      </c>
      <c r="AP122" s="326">
        <v>0</v>
      </c>
      <c r="AQ122" s="326">
        <v>0</v>
      </c>
      <c r="AR122" s="326">
        <v>0</v>
      </c>
      <c r="AS122" s="326">
        <v>0</v>
      </c>
      <c r="AT122" s="326">
        <v>0</v>
      </c>
    </row>
    <row r="123" spans="3:46" ht="13.5">
      <c r="C123" s="324" t="s">
        <v>621</v>
      </c>
      <c r="D123" s="323" t="s">
        <v>584</v>
      </c>
      <c r="E123" s="325">
        <v>0</v>
      </c>
      <c r="F123" s="325">
        <v>0</v>
      </c>
      <c r="G123" s="325">
        <v>0</v>
      </c>
      <c r="H123" s="325">
        <v>0</v>
      </c>
      <c r="I123" s="325">
        <v>0</v>
      </c>
      <c r="J123" s="325">
        <v>0</v>
      </c>
      <c r="K123" s="325">
        <v>0</v>
      </c>
      <c r="L123" s="325">
        <v>0</v>
      </c>
      <c r="M123" s="325">
        <v>0</v>
      </c>
      <c r="N123" s="325" t="s">
        <v>586</v>
      </c>
      <c r="O123" s="325">
        <v>0</v>
      </c>
      <c r="P123" s="325">
        <v>0</v>
      </c>
      <c r="Q123" s="325">
        <v>0</v>
      </c>
      <c r="R123" s="325">
        <v>0</v>
      </c>
      <c r="S123" s="325">
        <v>0</v>
      </c>
      <c r="T123" s="325">
        <v>0</v>
      </c>
      <c r="U123" s="325">
        <v>0</v>
      </c>
      <c r="V123" s="325">
        <v>0</v>
      </c>
      <c r="W123" s="325">
        <v>0</v>
      </c>
      <c r="X123" s="325">
        <v>0</v>
      </c>
      <c r="Y123" s="325">
        <v>0</v>
      </c>
      <c r="Z123" s="325">
        <v>0</v>
      </c>
      <c r="AA123" s="325">
        <v>0</v>
      </c>
      <c r="AB123" s="325">
        <v>0</v>
      </c>
      <c r="AC123" s="325">
        <v>0</v>
      </c>
      <c r="AD123" s="325">
        <v>0</v>
      </c>
      <c r="AE123" s="325">
        <v>0</v>
      </c>
      <c r="AF123" s="325">
        <v>0</v>
      </c>
      <c r="AG123" s="325">
        <v>0</v>
      </c>
      <c r="AH123" s="325">
        <v>0</v>
      </c>
      <c r="AI123" s="325">
        <v>0</v>
      </c>
      <c r="AJ123" s="325">
        <v>0</v>
      </c>
      <c r="AK123" s="325">
        <v>0</v>
      </c>
      <c r="AL123" s="325">
        <v>0</v>
      </c>
      <c r="AM123" s="325">
        <v>0</v>
      </c>
      <c r="AN123" s="325">
        <v>0</v>
      </c>
      <c r="AO123" s="325">
        <v>0</v>
      </c>
      <c r="AP123" s="325">
        <v>0</v>
      </c>
      <c r="AQ123" s="325">
        <v>0</v>
      </c>
      <c r="AR123" s="325">
        <v>0</v>
      </c>
      <c r="AS123" s="325">
        <v>0</v>
      </c>
      <c r="AT123" s="325">
        <v>0</v>
      </c>
    </row>
    <row r="124" spans="3:46" ht="13.5">
      <c r="C124" s="324" t="s">
        <v>622</v>
      </c>
      <c r="D124" s="323" t="s">
        <v>584</v>
      </c>
      <c r="E124" s="326">
        <v>0</v>
      </c>
      <c r="F124" s="326">
        <v>0</v>
      </c>
      <c r="G124" s="326">
        <v>0</v>
      </c>
      <c r="H124" s="326">
        <v>0</v>
      </c>
      <c r="I124" s="326">
        <v>0</v>
      </c>
      <c r="J124" s="326">
        <v>-1694.23</v>
      </c>
      <c r="K124" s="326">
        <v>-350.94</v>
      </c>
      <c r="L124" s="326">
        <v>0</v>
      </c>
      <c r="M124" s="326">
        <v>-14.4</v>
      </c>
      <c r="N124" s="326" t="s">
        <v>586</v>
      </c>
      <c r="O124" s="326">
        <v>0</v>
      </c>
      <c r="P124" s="326">
        <v>0</v>
      </c>
      <c r="Q124" s="326">
        <v>0</v>
      </c>
      <c r="R124" s="326">
        <v>0</v>
      </c>
      <c r="S124" s="326">
        <v>0</v>
      </c>
      <c r="T124" s="326">
        <v>0</v>
      </c>
      <c r="U124" s="326">
        <v>0</v>
      </c>
      <c r="V124" s="326">
        <v>0</v>
      </c>
      <c r="W124" s="326">
        <v>0</v>
      </c>
      <c r="X124" s="326">
        <v>0</v>
      </c>
      <c r="Y124" s="326">
        <v>0</v>
      </c>
      <c r="Z124" s="326">
        <v>0</v>
      </c>
      <c r="AA124" s="326">
        <v>0</v>
      </c>
      <c r="AB124" s="326">
        <v>0</v>
      </c>
      <c r="AC124" s="326">
        <v>0</v>
      </c>
      <c r="AD124" s="326">
        <v>0</v>
      </c>
      <c r="AE124" s="326">
        <v>0</v>
      </c>
      <c r="AF124" s="326">
        <v>0</v>
      </c>
      <c r="AG124" s="326">
        <v>0</v>
      </c>
      <c r="AH124" s="326">
        <v>0</v>
      </c>
      <c r="AI124" s="326">
        <v>0</v>
      </c>
      <c r="AJ124" s="326">
        <v>0</v>
      </c>
      <c r="AK124" s="326">
        <v>-2059.5700000000002</v>
      </c>
      <c r="AL124" s="326">
        <v>0</v>
      </c>
      <c r="AM124" s="326">
        <v>0</v>
      </c>
      <c r="AN124" s="326">
        <v>0</v>
      </c>
      <c r="AO124" s="326">
        <v>0</v>
      </c>
      <c r="AP124" s="326">
        <v>0</v>
      </c>
      <c r="AQ124" s="326">
        <v>0</v>
      </c>
      <c r="AR124" s="326">
        <v>0</v>
      </c>
      <c r="AS124" s="326">
        <v>0</v>
      </c>
      <c r="AT124" s="326">
        <v>0</v>
      </c>
    </row>
    <row r="125" spans="3:46" ht="13.5">
      <c r="C125" s="324" t="s">
        <v>623</v>
      </c>
      <c r="D125" s="323" t="s">
        <v>584</v>
      </c>
      <c r="E125" s="325">
        <v>0</v>
      </c>
      <c r="F125" s="325">
        <v>0</v>
      </c>
      <c r="G125" s="325">
        <v>0</v>
      </c>
      <c r="H125" s="325">
        <v>0</v>
      </c>
      <c r="I125" s="325">
        <v>0</v>
      </c>
      <c r="J125" s="325">
        <v>0</v>
      </c>
      <c r="K125" s="325">
        <v>0</v>
      </c>
      <c r="L125" s="325">
        <v>0</v>
      </c>
      <c r="M125" s="325">
        <v>0</v>
      </c>
      <c r="N125" s="325" t="s">
        <v>586</v>
      </c>
      <c r="O125" s="325">
        <v>0</v>
      </c>
      <c r="P125" s="325">
        <v>0</v>
      </c>
      <c r="Q125" s="325">
        <v>0</v>
      </c>
      <c r="R125" s="325">
        <v>0</v>
      </c>
      <c r="S125" s="325">
        <v>0</v>
      </c>
      <c r="T125" s="325">
        <v>0</v>
      </c>
      <c r="U125" s="325">
        <v>0</v>
      </c>
      <c r="V125" s="325">
        <v>0</v>
      </c>
      <c r="W125" s="325">
        <v>0</v>
      </c>
      <c r="X125" s="325">
        <v>0</v>
      </c>
      <c r="Y125" s="325">
        <v>0</v>
      </c>
      <c r="Z125" s="325">
        <v>0</v>
      </c>
      <c r="AA125" s="325">
        <v>0</v>
      </c>
      <c r="AB125" s="325">
        <v>0</v>
      </c>
      <c r="AC125" s="325">
        <v>0</v>
      </c>
      <c r="AD125" s="325">
        <v>0</v>
      </c>
      <c r="AE125" s="325">
        <v>0</v>
      </c>
      <c r="AF125" s="325">
        <v>0</v>
      </c>
      <c r="AG125" s="325">
        <v>0</v>
      </c>
      <c r="AH125" s="325">
        <v>0</v>
      </c>
      <c r="AI125" s="325">
        <v>0</v>
      </c>
      <c r="AJ125" s="325">
        <v>0</v>
      </c>
      <c r="AK125" s="325">
        <v>0</v>
      </c>
      <c r="AL125" s="325">
        <v>0</v>
      </c>
      <c r="AM125" s="325">
        <v>0</v>
      </c>
      <c r="AN125" s="325">
        <v>0</v>
      </c>
      <c r="AO125" s="325">
        <v>0</v>
      </c>
      <c r="AP125" s="325">
        <v>0</v>
      </c>
      <c r="AQ125" s="325">
        <v>0</v>
      </c>
      <c r="AR125" s="325">
        <v>0</v>
      </c>
      <c r="AS125" s="325">
        <v>0</v>
      </c>
      <c r="AT125" s="325">
        <v>0</v>
      </c>
    </row>
    <row r="126" spans="3:46" ht="13.5">
      <c r="C126" s="324" t="s">
        <v>624</v>
      </c>
      <c r="D126" s="323" t="s">
        <v>584</v>
      </c>
      <c r="E126" s="326">
        <v>0</v>
      </c>
      <c r="F126" s="326">
        <v>0</v>
      </c>
      <c r="G126" s="326">
        <v>0</v>
      </c>
      <c r="H126" s="326">
        <v>0</v>
      </c>
      <c r="I126" s="326">
        <v>0</v>
      </c>
      <c r="J126" s="326">
        <v>0</v>
      </c>
      <c r="K126" s="326">
        <v>0</v>
      </c>
      <c r="L126" s="326">
        <v>0</v>
      </c>
      <c r="M126" s="326">
        <v>0</v>
      </c>
      <c r="N126" s="326" t="s">
        <v>586</v>
      </c>
      <c r="O126" s="326">
        <v>0</v>
      </c>
      <c r="P126" s="326">
        <v>0</v>
      </c>
      <c r="Q126" s="326">
        <v>0</v>
      </c>
      <c r="R126" s="326">
        <v>0</v>
      </c>
      <c r="S126" s="326">
        <v>0</v>
      </c>
      <c r="T126" s="326">
        <v>0</v>
      </c>
      <c r="U126" s="326">
        <v>0</v>
      </c>
      <c r="V126" s="326">
        <v>0</v>
      </c>
      <c r="W126" s="326">
        <v>0</v>
      </c>
      <c r="X126" s="326">
        <v>0</v>
      </c>
      <c r="Y126" s="326">
        <v>0</v>
      </c>
      <c r="Z126" s="326">
        <v>0</v>
      </c>
      <c r="AA126" s="326">
        <v>0</v>
      </c>
      <c r="AB126" s="326">
        <v>0</v>
      </c>
      <c r="AC126" s="326">
        <v>0</v>
      </c>
      <c r="AD126" s="326">
        <v>0</v>
      </c>
      <c r="AE126" s="326">
        <v>0</v>
      </c>
      <c r="AF126" s="326">
        <v>0</v>
      </c>
      <c r="AG126" s="326">
        <v>0</v>
      </c>
      <c r="AH126" s="326">
        <v>0</v>
      </c>
      <c r="AI126" s="326">
        <v>0</v>
      </c>
      <c r="AJ126" s="326">
        <v>0</v>
      </c>
      <c r="AK126" s="326">
        <v>0</v>
      </c>
      <c r="AL126" s="326">
        <v>0</v>
      </c>
      <c r="AM126" s="326">
        <v>0</v>
      </c>
      <c r="AN126" s="326">
        <v>0</v>
      </c>
      <c r="AO126" s="326">
        <v>0</v>
      </c>
      <c r="AP126" s="326">
        <v>0</v>
      </c>
      <c r="AQ126" s="326">
        <v>0</v>
      </c>
      <c r="AR126" s="326">
        <v>0</v>
      </c>
      <c r="AS126" s="326">
        <v>0</v>
      </c>
      <c r="AT126" s="326">
        <v>0</v>
      </c>
    </row>
    <row r="127" spans="3:46" ht="13.5">
      <c r="C127" s="324" t="s">
        <v>625</v>
      </c>
      <c r="D127" s="323" t="s">
        <v>584</v>
      </c>
      <c r="E127" s="325">
        <v>0</v>
      </c>
      <c r="F127" s="325">
        <v>0</v>
      </c>
      <c r="G127" s="325">
        <v>0</v>
      </c>
      <c r="H127" s="325">
        <v>0</v>
      </c>
      <c r="I127" s="325">
        <v>0</v>
      </c>
      <c r="J127" s="325">
        <v>0</v>
      </c>
      <c r="K127" s="325">
        <v>0</v>
      </c>
      <c r="L127" s="325">
        <v>0</v>
      </c>
      <c r="M127" s="325">
        <v>-3471.19</v>
      </c>
      <c r="N127" s="325" t="s">
        <v>586</v>
      </c>
      <c r="O127" s="325">
        <v>0</v>
      </c>
      <c r="P127" s="325">
        <v>0</v>
      </c>
      <c r="Q127" s="325">
        <v>0</v>
      </c>
      <c r="R127" s="325">
        <v>-13756.61</v>
      </c>
      <c r="S127" s="325">
        <v>0</v>
      </c>
      <c r="T127" s="325">
        <v>0</v>
      </c>
      <c r="U127" s="325">
        <v>0</v>
      </c>
      <c r="V127" s="325">
        <v>0</v>
      </c>
      <c r="W127" s="325">
        <v>0</v>
      </c>
      <c r="X127" s="325">
        <v>0</v>
      </c>
      <c r="Y127" s="325">
        <v>0</v>
      </c>
      <c r="Z127" s="325">
        <v>0</v>
      </c>
      <c r="AA127" s="325">
        <v>0</v>
      </c>
      <c r="AB127" s="325">
        <v>-1680</v>
      </c>
      <c r="AC127" s="325">
        <v>0</v>
      </c>
      <c r="AD127" s="325">
        <v>0</v>
      </c>
      <c r="AE127" s="325">
        <v>0</v>
      </c>
      <c r="AF127" s="325">
        <v>0</v>
      </c>
      <c r="AG127" s="325">
        <v>0</v>
      </c>
      <c r="AH127" s="325">
        <v>0</v>
      </c>
      <c r="AI127" s="325">
        <v>-1425.86</v>
      </c>
      <c r="AJ127" s="325">
        <v>0</v>
      </c>
      <c r="AK127" s="325">
        <v>-20333.650000000001</v>
      </c>
      <c r="AL127" s="325">
        <v>0</v>
      </c>
      <c r="AM127" s="325">
        <v>0</v>
      </c>
      <c r="AN127" s="325">
        <v>0</v>
      </c>
      <c r="AO127" s="325">
        <v>0</v>
      </c>
      <c r="AP127" s="325">
        <v>0</v>
      </c>
      <c r="AQ127" s="325">
        <v>0</v>
      </c>
      <c r="AR127" s="325">
        <v>0</v>
      </c>
      <c r="AS127" s="325">
        <v>0</v>
      </c>
      <c r="AT127" s="325">
        <v>0</v>
      </c>
    </row>
    <row r="128" spans="3:46" ht="13.5">
      <c r="C128" s="324" t="s">
        <v>626</v>
      </c>
      <c r="D128" s="323" t="s">
        <v>584</v>
      </c>
      <c r="E128" s="326">
        <v>0</v>
      </c>
      <c r="F128" s="326">
        <v>0</v>
      </c>
      <c r="G128" s="326">
        <v>0</v>
      </c>
      <c r="H128" s="326">
        <v>0</v>
      </c>
      <c r="I128" s="326">
        <v>0</v>
      </c>
      <c r="J128" s="326">
        <v>0</v>
      </c>
      <c r="K128" s="326">
        <v>0</v>
      </c>
      <c r="L128" s="326">
        <v>0</v>
      </c>
      <c r="M128" s="326">
        <v>0</v>
      </c>
      <c r="N128" s="326" t="s">
        <v>586</v>
      </c>
      <c r="O128" s="326">
        <v>0</v>
      </c>
      <c r="P128" s="326">
        <v>0</v>
      </c>
      <c r="Q128" s="326">
        <v>0</v>
      </c>
      <c r="R128" s="326">
        <v>0</v>
      </c>
      <c r="S128" s="326">
        <v>0</v>
      </c>
      <c r="T128" s="326">
        <v>0</v>
      </c>
      <c r="U128" s="326">
        <v>0</v>
      </c>
      <c r="V128" s="326">
        <v>0</v>
      </c>
      <c r="W128" s="326">
        <v>0</v>
      </c>
      <c r="X128" s="326">
        <v>0</v>
      </c>
      <c r="Y128" s="326">
        <v>0</v>
      </c>
      <c r="Z128" s="326">
        <v>0</v>
      </c>
      <c r="AA128" s="326">
        <v>0</v>
      </c>
      <c r="AB128" s="326">
        <v>0</v>
      </c>
      <c r="AC128" s="326">
        <v>0</v>
      </c>
      <c r="AD128" s="326">
        <v>0</v>
      </c>
      <c r="AE128" s="326">
        <v>0</v>
      </c>
      <c r="AF128" s="326">
        <v>0</v>
      </c>
      <c r="AG128" s="326">
        <v>0</v>
      </c>
      <c r="AH128" s="326">
        <v>0</v>
      </c>
      <c r="AI128" s="326">
        <v>0</v>
      </c>
      <c r="AJ128" s="326">
        <v>0</v>
      </c>
      <c r="AK128" s="326">
        <v>0</v>
      </c>
      <c r="AL128" s="326">
        <v>0</v>
      </c>
      <c r="AM128" s="326">
        <v>0</v>
      </c>
      <c r="AN128" s="326">
        <v>0</v>
      </c>
      <c r="AO128" s="326">
        <v>0</v>
      </c>
      <c r="AP128" s="326">
        <v>0</v>
      </c>
      <c r="AQ128" s="326">
        <v>0</v>
      </c>
      <c r="AR128" s="326">
        <v>0</v>
      </c>
      <c r="AS128" s="326">
        <v>0</v>
      </c>
      <c r="AT128" s="326">
        <v>0</v>
      </c>
    </row>
    <row r="129" spans="3:46" ht="21">
      <c r="C129" s="324" t="s">
        <v>627</v>
      </c>
      <c r="D129" s="323" t="s">
        <v>584</v>
      </c>
      <c r="E129" s="325">
        <v>0</v>
      </c>
      <c r="F129" s="325">
        <v>0</v>
      </c>
      <c r="G129" s="325">
        <v>0</v>
      </c>
      <c r="H129" s="325">
        <v>0</v>
      </c>
      <c r="I129" s="325">
        <v>0</v>
      </c>
      <c r="J129" s="325">
        <v>0</v>
      </c>
      <c r="K129" s="325">
        <v>0</v>
      </c>
      <c r="L129" s="325">
        <v>0</v>
      </c>
      <c r="M129" s="325">
        <v>0</v>
      </c>
      <c r="N129" s="325" t="s">
        <v>586</v>
      </c>
      <c r="O129" s="325">
        <v>0</v>
      </c>
      <c r="P129" s="325">
        <v>0</v>
      </c>
      <c r="Q129" s="325">
        <v>0</v>
      </c>
      <c r="R129" s="325">
        <v>0</v>
      </c>
      <c r="S129" s="325">
        <v>0</v>
      </c>
      <c r="T129" s="325">
        <v>0</v>
      </c>
      <c r="U129" s="325">
        <v>0</v>
      </c>
      <c r="V129" s="325">
        <v>0</v>
      </c>
      <c r="W129" s="325">
        <v>0</v>
      </c>
      <c r="X129" s="325">
        <v>0</v>
      </c>
      <c r="Y129" s="325">
        <v>0</v>
      </c>
      <c r="Z129" s="325">
        <v>0</v>
      </c>
      <c r="AA129" s="325">
        <v>0</v>
      </c>
      <c r="AB129" s="325">
        <v>0</v>
      </c>
      <c r="AC129" s="325">
        <v>0</v>
      </c>
      <c r="AD129" s="325">
        <v>0</v>
      </c>
      <c r="AE129" s="325">
        <v>0</v>
      </c>
      <c r="AF129" s="325">
        <v>0</v>
      </c>
      <c r="AG129" s="325">
        <v>0</v>
      </c>
      <c r="AH129" s="325">
        <v>0</v>
      </c>
      <c r="AI129" s="325">
        <v>0</v>
      </c>
      <c r="AJ129" s="325">
        <v>0</v>
      </c>
      <c r="AK129" s="325">
        <v>0</v>
      </c>
      <c r="AL129" s="325">
        <v>0</v>
      </c>
      <c r="AM129" s="325">
        <v>0</v>
      </c>
      <c r="AN129" s="325">
        <v>0</v>
      </c>
      <c r="AO129" s="325">
        <v>0</v>
      </c>
      <c r="AP129" s="325">
        <v>0</v>
      </c>
      <c r="AQ129" s="325">
        <v>0</v>
      </c>
      <c r="AR129" s="325">
        <v>0</v>
      </c>
      <c r="AS129" s="325">
        <v>0</v>
      </c>
      <c r="AT129" s="325">
        <v>0</v>
      </c>
    </row>
    <row r="130" spans="3:46" ht="13.5">
      <c r="C130" s="324" t="s">
        <v>628</v>
      </c>
      <c r="D130" s="323" t="s">
        <v>584</v>
      </c>
      <c r="E130" s="326">
        <v>0</v>
      </c>
      <c r="F130" s="326">
        <v>0</v>
      </c>
      <c r="G130" s="326">
        <v>0</v>
      </c>
      <c r="H130" s="326">
        <v>0</v>
      </c>
      <c r="I130" s="326">
        <v>0</v>
      </c>
      <c r="J130" s="326">
        <v>0</v>
      </c>
      <c r="K130" s="326">
        <v>0</v>
      </c>
      <c r="L130" s="326">
        <v>0</v>
      </c>
      <c r="M130" s="326">
        <v>0</v>
      </c>
      <c r="N130" s="326" t="s">
        <v>586</v>
      </c>
      <c r="O130" s="326">
        <v>0</v>
      </c>
      <c r="P130" s="326">
        <v>0</v>
      </c>
      <c r="Q130" s="326">
        <v>0</v>
      </c>
      <c r="R130" s="326">
        <v>0</v>
      </c>
      <c r="S130" s="326">
        <v>0</v>
      </c>
      <c r="T130" s="326">
        <v>0</v>
      </c>
      <c r="U130" s="326">
        <v>0</v>
      </c>
      <c r="V130" s="326">
        <v>0</v>
      </c>
      <c r="W130" s="326">
        <v>0</v>
      </c>
      <c r="X130" s="326">
        <v>0</v>
      </c>
      <c r="Y130" s="326">
        <v>0</v>
      </c>
      <c r="Z130" s="326">
        <v>0</v>
      </c>
      <c r="AA130" s="326">
        <v>0</v>
      </c>
      <c r="AB130" s="326">
        <v>0</v>
      </c>
      <c r="AC130" s="326">
        <v>0</v>
      </c>
      <c r="AD130" s="326">
        <v>0</v>
      </c>
      <c r="AE130" s="326">
        <v>0</v>
      </c>
      <c r="AF130" s="326">
        <v>0</v>
      </c>
      <c r="AG130" s="326">
        <v>0</v>
      </c>
      <c r="AH130" s="326">
        <v>0</v>
      </c>
      <c r="AI130" s="326">
        <v>0</v>
      </c>
      <c r="AJ130" s="326">
        <v>0</v>
      </c>
      <c r="AK130" s="326">
        <v>0</v>
      </c>
      <c r="AL130" s="326">
        <v>0</v>
      </c>
      <c r="AM130" s="326">
        <v>0</v>
      </c>
      <c r="AN130" s="326">
        <v>0</v>
      </c>
      <c r="AO130" s="326">
        <v>0</v>
      </c>
      <c r="AP130" s="326">
        <v>0</v>
      </c>
      <c r="AQ130" s="326">
        <v>0</v>
      </c>
      <c r="AR130" s="326">
        <v>0</v>
      </c>
      <c r="AS130" s="326">
        <v>0</v>
      </c>
      <c r="AT130" s="326">
        <v>0</v>
      </c>
    </row>
    <row r="131" spans="3:46" ht="21">
      <c r="C131" s="324" t="s">
        <v>629</v>
      </c>
      <c r="D131" s="323" t="s">
        <v>584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 t="s">
        <v>586</v>
      </c>
      <c r="O131" s="325">
        <v>0</v>
      </c>
      <c r="P131" s="325">
        <v>0</v>
      </c>
      <c r="Q131" s="325">
        <v>0</v>
      </c>
      <c r="R131" s="325">
        <v>0</v>
      </c>
      <c r="S131" s="325">
        <v>0</v>
      </c>
      <c r="T131" s="325">
        <v>0</v>
      </c>
      <c r="U131" s="325">
        <v>0</v>
      </c>
      <c r="V131" s="325">
        <v>0</v>
      </c>
      <c r="W131" s="325">
        <v>0</v>
      </c>
      <c r="X131" s="325">
        <v>0</v>
      </c>
      <c r="Y131" s="325">
        <v>0</v>
      </c>
      <c r="Z131" s="325">
        <v>0</v>
      </c>
      <c r="AA131" s="325">
        <v>0</v>
      </c>
      <c r="AB131" s="325">
        <v>0</v>
      </c>
      <c r="AC131" s="325">
        <v>0</v>
      </c>
      <c r="AD131" s="325">
        <v>0</v>
      </c>
      <c r="AE131" s="325">
        <v>0</v>
      </c>
      <c r="AF131" s="325">
        <v>0</v>
      </c>
      <c r="AG131" s="325">
        <v>0</v>
      </c>
      <c r="AH131" s="325">
        <v>0</v>
      </c>
      <c r="AI131" s="325">
        <v>-4788.8599999999997</v>
      </c>
      <c r="AJ131" s="325">
        <v>0</v>
      </c>
      <c r="AK131" s="325">
        <v>-4788.8599999999997</v>
      </c>
      <c r="AL131" s="325">
        <v>0</v>
      </c>
      <c r="AM131" s="325">
        <v>0</v>
      </c>
      <c r="AN131" s="325">
        <v>0</v>
      </c>
      <c r="AO131" s="325">
        <v>0</v>
      </c>
      <c r="AP131" s="325">
        <v>0</v>
      </c>
      <c r="AQ131" s="325">
        <v>0</v>
      </c>
      <c r="AR131" s="325">
        <v>0</v>
      </c>
      <c r="AS131" s="325">
        <v>0</v>
      </c>
      <c r="AT131" s="325">
        <v>0</v>
      </c>
    </row>
    <row r="132" spans="3:46" ht="13.5">
      <c r="C132" s="324" t="s">
        <v>630</v>
      </c>
      <c r="D132" s="323" t="s">
        <v>584</v>
      </c>
      <c r="E132" s="326">
        <v>0</v>
      </c>
      <c r="F132" s="326">
        <v>0</v>
      </c>
      <c r="G132" s="326">
        <v>0</v>
      </c>
      <c r="H132" s="326">
        <v>0</v>
      </c>
      <c r="I132" s="326">
        <v>0</v>
      </c>
      <c r="J132" s="326">
        <v>0</v>
      </c>
      <c r="K132" s="326">
        <v>0</v>
      </c>
      <c r="L132" s="326">
        <v>0</v>
      </c>
      <c r="M132" s="326">
        <v>0</v>
      </c>
      <c r="N132" s="326" t="s">
        <v>586</v>
      </c>
      <c r="O132" s="326">
        <v>0</v>
      </c>
      <c r="P132" s="326">
        <v>0</v>
      </c>
      <c r="Q132" s="326">
        <v>0</v>
      </c>
      <c r="R132" s="326">
        <v>0</v>
      </c>
      <c r="S132" s="326">
        <v>0</v>
      </c>
      <c r="T132" s="326">
        <v>0</v>
      </c>
      <c r="U132" s="326">
        <v>0</v>
      </c>
      <c r="V132" s="326">
        <v>0</v>
      </c>
      <c r="W132" s="326">
        <v>0</v>
      </c>
      <c r="X132" s="326">
        <v>0</v>
      </c>
      <c r="Y132" s="326">
        <v>0</v>
      </c>
      <c r="Z132" s="326">
        <v>0</v>
      </c>
      <c r="AA132" s="326">
        <v>0</v>
      </c>
      <c r="AB132" s="326">
        <v>0</v>
      </c>
      <c r="AC132" s="326">
        <v>0</v>
      </c>
      <c r="AD132" s="326">
        <v>0</v>
      </c>
      <c r="AE132" s="326">
        <v>0</v>
      </c>
      <c r="AF132" s="326">
        <v>0</v>
      </c>
      <c r="AG132" s="326">
        <v>0</v>
      </c>
      <c r="AH132" s="326">
        <v>0</v>
      </c>
      <c r="AI132" s="326">
        <v>0</v>
      </c>
      <c r="AJ132" s="326">
        <v>0</v>
      </c>
      <c r="AK132" s="326">
        <v>0</v>
      </c>
      <c r="AL132" s="326">
        <v>0</v>
      </c>
      <c r="AM132" s="326">
        <v>0</v>
      </c>
      <c r="AN132" s="326">
        <v>0</v>
      </c>
      <c r="AO132" s="326">
        <v>0</v>
      </c>
      <c r="AP132" s="326">
        <v>0</v>
      </c>
      <c r="AQ132" s="326">
        <v>0</v>
      </c>
      <c r="AR132" s="326">
        <v>0</v>
      </c>
      <c r="AS132" s="326">
        <v>0</v>
      </c>
      <c r="AT132" s="326">
        <v>0</v>
      </c>
    </row>
    <row r="133" spans="3:46" ht="13.5">
      <c r="C133" s="324" t="s">
        <v>631</v>
      </c>
      <c r="D133" s="323" t="s">
        <v>584</v>
      </c>
      <c r="E133" s="325">
        <v>0</v>
      </c>
      <c r="F133" s="325">
        <v>0</v>
      </c>
      <c r="G133" s="325">
        <v>0</v>
      </c>
      <c r="H133" s="325">
        <v>0</v>
      </c>
      <c r="I133" s="325">
        <v>0</v>
      </c>
      <c r="J133" s="325">
        <v>0</v>
      </c>
      <c r="K133" s="325">
        <v>0</v>
      </c>
      <c r="L133" s="325">
        <v>0</v>
      </c>
      <c r="M133" s="325">
        <v>0</v>
      </c>
      <c r="N133" s="325" t="s">
        <v>586</v>
      </c>
      <c r="O133" s="325">
        <v>0</v>
      </c>
      <c r="P133" s="325">
        <v>0</v>
      </c>
      <c r="Q133" s="325">
        <v>0</v>
      </c>
      <c r="R133" s="325">
        <v>0</v>
      </c>
      <c r="S133" s="325">
        <v>0</v>
      </c>
      <c r="T133" s="325">
        <v>0</v>
      </c>
      <c r="U133" s="325">
        <v>0</v>
      </c>
      <c r="V133" s="325">
        <v>0</v>
      </c>
      <c r="W133" s="325">
        <v>0</v>
      </c>
      <c r="X133" s="325">
        <v>0</v>
      </c>
      <c r="Y133" s="325">
        <v>0</v>
      </c>
      <c r="Z133" s="325">
        <v>0</v>
      </c>
      <c r="AA133" s="325">
        <v>0</v>
      </c>
      <c r="AB133" s="325">
        <v>0</v>
      </c>
      <c r="AC133" s="325">
        <v>0</v>
      </c>
      <c r="AD133" s="325">
        <v>0</v>
      </c>
      <c r="AE133" s="325">
        <v>0</v>
      </c>
      <c r="AF133" s="325">
        <v>0</v>
      </c>
      <c r="AG133" s="325">
        <v>0</v>
      </c>
      <c r="AH133" s="325">
        <v>0</v>
      </c>
      <c r="AI133" s="325">
        <v>0</v>
      </c>
      <c r="AJ133" s="325">
        <v>0</v>
      </c>
      <c r="AK133" s="325">
        <v>0</v>
      </c>
      <c r="AL133" s="325">
        <v>0</v>
      </c>
      <c r="AM133" s="325">
        <v>0</v>
      </c>
      <c r="AN133" s="325">
        <v>0</v>
      </c>
      <c r="AO133" s="325">
        <v>0</v>
      </c>
      <c r="AP133" s="325">
        <v>0</v>
      </c>
      <c r="AQ133" s="325">
        <v>0</v>
      </c>
      <c r="AR133" s="325">
        <v>0</v>
      </c>
      <c r="AS133" s="325">
        <v>0</v>
      </c>
      <c r="AT133" s="325">
        <v>0</v>
      </c>
    </row>
    <row r="134" spans="3:46" ht="13.5">
      <c r="C134" s="324" t="s">
        <v>632</v>
      </c>
      <c r="D134" s="323" t="s">
        <v>584</v>
      </c>
      <c r="E134" s="326">
        <v>0</v>
      </c>
      <c r="F134" s="326">
        <v>0</v>
      </c>
      <c r="G134" s="326">
        <v>0</v>
      </c>
      <c r="H134" s="326">
        <v>0</v>
      </c>
      <c r="I134" s="326">
        <v>0</v>
      </c>
      <c r="J134" s="326">
        <v>0</v>
      </c>
      <c r="K134" s="326">
        <v>0</v>
      </c>
      <c r="L134" s="326">
        <v>0</v>
      </c>
      <c r="M134" s="326">
        <v>0</v>
      </c>
      <c r="N134" s="326" t="s">
        <v>586</v>
      </c>
      <c r="O134" s="326">
        <v>0</v>
      </c>
      <c r="P134" s="326">
        <v>0</v>
      </c>
      <c r="Q134" s="326">
        <v>0</v>
      </c>
      <c r="R134" s="326">
        <v>0</v>
      </c>
      <c r="S134" s="326">
        <v>0</v>
      </c>
      <c r="T134" s="326">
        <v>0</v>
      </c>
      <c r="U134" s="326">
        <v>0</v>
      </c>
      <c r="V134" s="326">
        <v>0</v>
      </c>
      <c r="W134" s="326">
        <v>0</v>
      </c>
      <c r="X134" s="326">
        <v>0</v>
      </c>
      <c r="Y134" s="326">
        <v>0</v>
      </c>
      <c r="Z134" s="326">
        <v>0</v>
      </c>
      <c r="AA134" s="326">
        <v>0</v>
      </c>
      <c r="AB134" s="326">
        <v>0</v>
      </c>
      <c r="AC134" s="326">
        <v>0</v>
      </c>
      <c r="AD134" s="326">
        <v>0</v>
      </c>
      <c r="AE134" s="326">
        <v>0</v>
      </c>
      <c r="AF134" s="326">
        <v>0</v>
      </c>
      <c r="AG134" s="326">
        <v>0</v>
      </c>
      <c r="AH134" s="326">
        <v>0</v>
      </c>
      <c r="AI134" s="326">
        <v>0</v>
      </c>
      <c r="AJ134" s="326">
        <v>0</v>
      </c>
      <c r="AK134" s="326">
        <v>0</v>
      </c>
      <c r="AL134" s="326">
        <v>0</v>
      </c>
      <c r="AM134" s="326">
        <v>0</v>
      </c>
      <c r="AN134" s="326">
        <v>0</v>
      </c>
      <c r="AO134" s="326">
        <v>0</v>
      </c>
      <c r="AP134" s="326">
        <v>0</v>
      </c>
      <c r="AQ134" s="326">
        <v>0</v>
      </c>
      <c r="AR134" s="326">
        <v>0</v>
      </c>
      <c r="AS134" s="326">
        <v>0</v>
      </c>
      <c r="AT134" s="326">
        <v>0</v>
      </c>
    </row>
    <row r="135" spans="3:46" ht="13.5">
      <c r="C135" s="324" t="s">
        <v>633</v>
      </c>
      <c r="D135" s="323" t="s">
        <v>584</v>
      </c>
      <c r="E135" s="325">
        <v>0</v>
      </c>
      <c r="F135" s="325">
        <v>0</v>
      </c>
      <c r="G135" s="325">
        <v>0</v>
      </c>
      <c r="H135" s="325">
        <v>0</v>
      </c>
      <c r="I135" s="325">
        <v>0</v>
      </c>
      <c r="J135" s="325">
        <v>0</v>
      </c>
      <c r="K135" s="325">
        <v>0</v>
      </c>
      <c r="L135" s="325">
        <v>0</v>
      </c>
      <c r="M135" s="325">
        <v>0</v>
      </c>
      <c r="N135" s="325" t="s">
        <v>586</v>
      </c>
      <c r="O135" s="325">
        <v>0</v>
      </c>
      <c r="P135" s="325">
        <v>0</v>
      </c>
      <c r="Q135" s="325">
        <v>0</v>
      </c>
      <c r="R135" s="325">
        <v>0</v>
      </c>
      <c r="S135" s="325">
        <v>0</v>
      </c>
      <c r="T135" s="325">
        <v>0</v>
      </c>
      <c r="U135" s="325">
        <v>0</v>
      </c>
      <c r="V135" s="325">
        <v>0</v>
      </c>
      <c r="W135" s="325">
        <v>0</v>
      </c>
      <c r="X135" s="325">
        <v>0</v>
      </c>
      <c r="Y135" s="325">
        <v>0</v>
      </c>
      <c r="Z135" s="325">
        <v>0</v>
      </c>
      <c r="AA135" s="325">
        <v>0</v>
      </c>
      <c r="AB135" s="325">
        <v>0</v>
      </c>
      <c r="AC135" s="325">
        <v>0</v>
      </c>
      <c r="AD135" s="325">
        <v>0</v>
      </c>
      <c r="AE135" s="325">
        <v>0</v>
      </c>
      <c r="AF135" s="325">
        <v>0</v>
      </c>
      <c r="AG135" s="325">
        <v>0</v>
      </c>
      <c r="AH135" s="325">
        <v>0</v>
      </c>
      <c r="AI135" s="325">
        <v>-752.54</v>
      </c>
      <c r="AJ135" s="325">
        <v>0</v>
      </c>
      <c r="AK135" s="325">
        <v>-752.54</v>
      </c>
      <c r="AL135" s="325">
        <v>0</v>
      </c>
      <c r="AM135" s="325">
        <v>0</v>
      </c>
      <c r="AN135" s="325">
        <v>0</v>
      </c>
      <c r="AO135" s="325">
        <v>0</v>
      </c>
      <c r="AP135" s="325">
        <v>0</v>
      </c>
      <c r="AQ135" s="325">
        <v>0</v>
      </c>
      <c r="AR135" s="325">
        <v>0</v>
      </c>
      <c r="AS135" s="325">
        <v>0</v>
      </c>
      <c r="AT135" s="325">
        <v>0</v>
      </c>
    </row>
    <row r="136" spans="3:46" ht="13.5">
      <c r="C136" s="324" t="s">
        <v>634</v>
      </c>
      <c r="D136" s="323" t="s">
        <v>584</v>
      </c>
      <c r="E136" s="326">
        <v>0</v>
      </c>
      <c r="F136" s="326">
        <v>0</v>
      </c>
      <c r="G136" s="326">
        <v>0</v>
      </c>
      <c r="H136" s="326">
        <v>0</v>
      </c>
      <c r="I136" s="326">
        <v>0</v>
      </c>
      <c r="J136" s="326">
        <v>0</v>
      </c>
      <c r="K136" s="326">
        <v>0</v>
      </c>
      <c r="L136" s="326">
        <v>0</v>
      </c>
      <c r="M136" s="326">
        <v>-733.28</v>
      </c>
      <c r="N136" s="326" t="s">
        <v>586</v>
      </c>
      <c r="O136" s="326">
        <v>0</v>
      </c>
      <c r="P136" s="326">
        <v>0</v>
      </c>
      <c r="Q136" s="326">
        <v>0</v>
      </c>
      <c r="R136" s="326">
        <v>0</v>
      </c>
      <c r="S136" s="326">
        <v>0</v>
      </c>
      <c r="T136" s="326">
        <v>0</v>
      </c>
      <c r="U136" s="326">
        <v>0</v>
      </c>
      <c r="V136" s="326">
        <v>0</v>
      </c>
      <c r="W136" s="326">
        <v>0</v>
      </c>
      <c r="X136" s="326">
        <v>0</v>
      </c>
      <c r="Y136" s="326">
        <v>0</v>
      </c>
      <c r="Z136" s="326">
        <v>0</v>
      </c>
      <c r="AA136" s="326">
        <v>0</v>
      </c>
      <c r="AB136" s="326">
        <v>0</v>
      </c>
      <c r="AC136" s="326">
        <v>0</v>
      </c>
      <c r="AD136" s="326">
        <v>0</v>
      </c>
      <c r="AE136" s="326">
        <v>0</v>
      </c>
      <c r="AF136" s="326">
        <v>0</v>
      </c>
      <c r="AG136" s="326">
        <v>0</v>
      </c>
      <c r="AH136" s="326">
        <v>0</v>
      </c>
      <c r="AI136" s="326">
        <v>-10243.84</v>
      </c>
      <c r="AJ136" s="326">
        <v>0</v>
      </c>
      <c r="AK136" s="326">
        <v>-11241.06</v>
      </c>
      <c r="AL136" s="326">
        <v>0</v>
      </c>
      <c r="AM136" s="326">
        <v>-263.94</v>
      </c>
      <c r="AN136" s="326">
        <v>0</v>
      </c>
      <c r="AO136" s="326">
        <v>0</v>
      </c>
      <c r="AP136" s="326">
        <v>0</v>
      </c>
      <c r="AQ136" s="326">
        <v>0</v>
      </c>
      <c r="AR136" s="326">
        <v>0</v>
      </c>
      <c r="AS136" s="326">
        <v>0</v>
      </c>
      <c r="AT136" s="326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tabSelected="1" zoomScale="70" zoomScaleNormal="70" workbookViewId="0">
      <selection activeCell="E58" sqref="E58"/>
    </sheetView>
  </sheetViews>
  <sheetFormatPr defaultColWidth="9.140625" defaultRowHeight="12.75"/>
  <cols>
    <col min="1" max="1" width="3" style="58" customWidth="1"/>
    <col min="2" max="2" width="16.42578125" style="58" customWidth="1"/>
    <col min="3" max="3" width="13.140625" style="58" bestFit="1" customWidth="1"/>
    <col min="4" max="4" width="18.5703125" style="58" customWidth="1"/>
    <col min="5" max="5" width="11.85546875" style="58" customWidth="1"/>
    <col min="6" max="6" width="16.85546875" style="58" customWidth="1"/>
    <col min="7" max="7" width="17.7109375" style="58" customWidth="1"/>
    <col min="8" max="8" width="28.42578125" style="58" customWidth="1"/>
    <col min="9" max="9" width="46.5703125" style="58" customWidth="1"/>
    <col min="10" max="10" width="12.42578125" style="58" customWidth="1"/>
    <col min="11" max="11" width="9.85546875" style="58" customWidth="1"/>
    <col min="12" max="12" width="14.5703125" style="58" bestFit="1" customWidth="1"/>
    <col min="13" max="13" width="20.140625" style="58" customWidth="1"/>
    <col min="14" max="14" width="6.140625" style="58" customWidth="1"/>
    <col min="15" max="16" width="16.5703125" style="58" customWidth="1"/>
    <col min="17" max="17" width="14.140625" style="58" bestFit="1" customWidth="1"/>
    <col min="18" max="18" width="8.140625" style="58" customWidth="1"/>
    <col min="19" max="19" width="9.140625" style="58"/>
    <col min="20" max="20" width="17.140625" style="58" customWidth="1"/>
    <col min="21" max="24" width="9.140625" style="58"/>
    <col min="25" max="25" width="25.28515625" style="58" customWidth="1"/>
    <col min="26" max="16384" width="9.140625" style="58"/>
  </cols>
  <sheetData>
    <row r="1" spans="2:32" ht="13.5" customHeight="1">
      <c r="B1" s="33" t="s">
        <v>49</v>
      </c>
      <c r="C1" s="33" t="s">
        <v>50</v>
      </c>
      <c r="D1" s="33" t="s">
        <v>51</v>
      </c>
      <c r="E1" s="33" t="s">
        <v>77</v>
      </c>
      <c r="F1" s="33" t="s">
        <v>63</v>
      </c>
      <c r="G1" s="33" t="s">
        <v>67</v>
      </c>
      <c r="H1" s="34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32" ht="13.5" customHeight="1">
      <c r="B2" s="35" t="s">
        <v>44</v>
      </c>
      <c r="C2" s="36" t="s">
        <v>47</v>
      </c>
      <c r="D2" s="35" t="s">
        <v>75</v>
      </c>
      <c r="E2" s="35" t="s">
        <v>52</v>
      </c>
      <c r="F2" s="35" t="str">
        <f>'EB1'!D2</f>
        <v>Milion NZD (2015)</v>
      </c>
      <c r="G2" s="35" t="s">
        <v>68</v>
      </c>
      <c r="H2" s="37"/>
      <c r="I2" s="59"/>
    </row>
    <row r="3" spans="2:32" ht="13.5" customHeight="1">
      <c r="B3" s="59"/>
      <c r="C3" s="59"/>
      <c r="D3" s="59"/>
      <c r="E3" s="59"/>
      <c r="F3" s="59"/>
      <c r="G3" s="59"/>
      <c r="H3" s="59"/>
      <c r="I3" s="59"/>
    </row>
    <row r="4" spans="2:32" ht="13.5" customHeight="1">
      <c r="B4" s="38"/>
      <c r="C4" s="38"/>
      <c r="D4" s="38"/>
      <c r="E4" s="38"/>
      <c r="F4" s="59"/>
      <c r="G4" s="38"/>
      <c r="H4" s="59"/>
      <c r="I4" s="59"/>
    </row>
    <row r="5" spans="2:32" ht="13.5" customHeight="1">
      <c r="B5" s="147" t="s">
        <v>14</v>
      </c>
      <c r="C5" s="147"/>
      <c r="D5" s="148"/>
      <c r="E5" s="148"/>
      <c r="F5" s="148"/>
      <c r="G5" s="148"/>
      <c r="H5" s="148"/>
      <c r="I5" s="148"/>
      <c r="J5" s="148"/>
      <c r="R5" s="155" t="s">
        <v>15</v>
      </c>
      <c r="S5" s="155"/>
      <c r="T5" s="148"/>
      <c r="U5" s="148"/>
      <c r="V5" s="148"/>
      <c r="W5" s="148"/>
      <c r="X5" s="148"/>
      <c r="Y5" s="148"/>
      <c r="Z5" s="148"/>
    </row>
    <row r="6" spans="2:32" ht="13.5" customHeight="1">
      <c r="B6" s="149" t="s">
        <v>7</v>
      </c>
      <c r="C6" s="150" t="s">
        <v>30</v>
      </c>
      <c r="D6" s="149" t="s">
        <v>0</v>
      </c>
      <c r="E6" s="389" t="s">
        <v>795</v>
      </c>
      <c r="F6" s="389" t="s">
        <v>796</v>
      </c>
      <c r="G6" s="389" t="s">
        <v>797</v>
      </c>
      <c r="H6" s="389" t="s">
        <v>3</v>
      </c>
      <c r="I6" s="389" t="s">
        <v>798</v>
      </c>
      <c r="J6" s="149" t="s">
        <v>4</v>
      </c>
      <c r="K6" s="149" t="s">
        <v>8</v>
      </c>
      <c r="L6" s="149" t="s">
        <v>9</v>
      </c>
      <c r="M6" s="149" t="s">
        <v>10</v>
      </c>
      <c r="N6" s="149" t="s">
        <v>12</v>
      </c>
      <c r="R6" s="149" t="s">
        <v>11</v>
      </c>
      <c r="S6" s="150" t="s">
        <v>30</v>
      </c>
      <c r="T6" s="149" t="s">
        <v>1</v>
      </c>
      <c r="U6" s="395" t="s">
        <v>795</v>
      </c>
      <c r="V6" s="395" t="s">
        <v>796</v>
      </c>
      <c r="W6" s="395" t="s">
        <v>801</v>
      </c>
      <c r="X6" s="395" t="s">
        <v>802</v>
      </c>
      <c r="Y6" s="395" t="s">
        <v>803</v>
      </c>
      <c r="Z6" s="395" t="s">
        <v>2</v>
      </c>
      <c r="AA6" s="396" t="s">
        <v>804</v>
      </c>
      <c r="AB6" s="149" t="s">
        <v>16</v>
      </c>
      <c r="AC6" s="149" t="s">
        <v>17</v>
      </c>
      <c r="AD6" s="149" t="s">
        <v>18</v>
      </c>
      <c r="AE6" s="149" t="s">
        <v>19</v>
      </c>
      <c r="AF6" s="149" t="s">
        <v>20</v>
      </c>
    </row>
    <row r="7" spans="2:32" ht="13.5" customHeight="1" thickBot="1">
      <c r="B7" s="151" t="s">
        <v>35</v>
      </c>
      <c r="C7" s="151" t="s">
        <v>31</v>
      </c>
      <c r="D7" s="151" t="s">
        <v>26</v>
      </c>
      <c r="E7" s="390"/>
      <c r="F7" s="390"/>
      <c r="G7" s="390"/>
      <c r="H7" s="390"/>
      <c r="I7" s="390" t="s">
        <v>27</v>
      </c>
      <c r="J7" s="151" t="s">
        <v>4</v>
      </c>
      <c r="K7" s="151" t="s">
        <v>38</v>
      </c>
      <c r="L7" s="151" t="s">
        <v>39</v>
      </c>
      <c r="M7" s="151" t="s">
        <v>28</v>
      </c>
      <c r="N7" s="151" t="s">
        <v>29</v>
      </c>
      <c r="R7" s="156" t="s">
        <v>36</v>
      </c>
      <c r="S7" s="156" t="s">
        <v>31</v>
      </c>
      <c r="T7" s="156" t="s">
        <v>21</v>
      </c>
      <c r="U7" s="397"/>
      <c r="V7" s="397"/>
      <c r="W7" s="397"/>
      <c r="X7" s="397"/>
      <c r="Y7" s="397"/>
      <c r="Z7" s="397"/>
      <c r="AA7" s="398" t="s">
        <v>22</v>
      </c>
      <c r="AB7" s="156" t="s">
        <v>23</v>
      </c>
      <c r="AC7" s="156" t="s">
        <v>24</v>
      </c>
      <c r="AD7" s="156" t="s">
        <v>41</v>
      </c>
      <c r="AE7" s="156" t="s">
        <v>40</v>
      </c>
      <c r="AF7" s="156" t="s">
        <v>25</v>
      </c>
    </row>
    <row r="8" spans="2:32" ht="20.25" customHeight="1">
      <c r="B8" s="152" t="s">
        <v>48</v>
      </c>
      <c r="C8" s="152"/>
      <c r="D8" s="152" t="str">
        <f>$B$2&amp;'EB1'!$F$9</f>
        <v>ELCCOA</v>
      </c>
      <c r="E8" s="153" t="s">
        <v>58</v>
      </c>
      <c r="F8" s="153" t="s">
        <v>94</v>
      </c>
      <c r="G8" s="153" t="s">
        <v>799</v>
      </c>
      <c r="H8" s="391" t="str">
        <f xml:space="preserve"> _xlfn.CONCAT( E8, " -:- ", F8, " -:- ", G8 )</f>
        <v>Electricity -:- Thermal -:- Electricity Production</v>
      </c>
      <c r="I8" s="153" t="s">
        <v>462</v>
      </c>
      <c r="J8" s="152" t="str">
        <f>$E$2</f>
        <v>PJ</v>
      </c>
      <c r="K8" s="152" t="s">
        <v>697</v>
      </c>
      <c r="L8" s="154"/>
      <c r="M8" s="152"/>
      <c r="N8" s="152"/>
      <c r="R8" s="151" t="s">
        <v>55</v>
      </c>
      <c r="S8" s="66"/>
      <c r="T8" s="66"/>
      <c r="U8" s="399"/>
      <c r="V8" s="399"/>
      <c r="W8" s="399"/>
      <c r="X8" s="399"/>
      <c r="Y8" s="399"/>
      <c r="Z8" s="399"/>
      <c r="AA8" s="400"/>
      <c r="AB8" s="66"/>
      <c r="AC8" s="66"/>
      <c r="AD8" s="66"/>
      <c r="AE8" s="66"/>
      <c r="AF8" s="66"/>
    </row>
    <row r="9" spans="2:32" ht="13.5" customHeight="1">
      <c r="B9" s="152"/>
      <c r="C9" s="152"/>
      <c r="D9" s="152" t="str">
        <f>$B$2&amp;'EB1'!$G$9</f>
        <v>ELCCOL</v>
      </c>
      <c r="E9" s="153" t="s">
        <v>58</v>
      </c>
      <c r="F9" s="153" t="s">
        <v>94</v>
      </c>
      <c r="G9" s="153" t="s">
        <v>799</v>
      </c>
      <c r="H9" s="391" t="str">
        <f t="shared" ref="H9:H21" si="0" xml:space="preserve"> _xlfn.CONCAT( E9, " -:- ", F9, " -:- ", G9 )</f>
        <v>Electricity -:- Thermal -:- Electricity Production</v>
      </c>
      <c r="I9" s="153" t="s">
        <v>463</v>
      </c>
      <c r="J9" s="152" t="str">
        <f t="shared" ref="J9:J21" si="1">$E$2</f>
        <v>PJ</v>
      </c>
      <c r="K9" s="152" t="s">
        <v>697</v>
      </c>
      <c r="L9" s="154"/>
      <c r="M9" s="152"/>
      <c r="N9" s="152"/>
      <c r="R9" s="152" t="s">
        <v>76</v>
      </c>
      <c r="S9" s="152"/>
      <c r="T9" s="152" t="s">
        <v>450</v>
      </c>
      <c r="U9" s="153" t="s">
        <v>58</v>
      </c>
      <c r="V9" s="153"/>
      <c r="W9" s="153"/>
      <c r="X9" s="153"/>
      <c r="Y9" s="153" t="s">
        <v>122</v>
      </c>
      <c r="Z9" s="401" t="str">
        <f xml:space="preserve"> _xlfn.CONCAT( U9, " -:- ", V9, " -:- ", W9, " -:- ", X9, " -:- ", Y9 )</f>
        <v>Electricity -:-  -:-  -:-  -:- Coal</v>
      </c>
      <c r="AA9" s="386" t="s">
        <v>475</v>
      </c>
      <c r="AB9" s="152" t="str">
        <f>$E$2</f>
        <v>PJ</v>
      </c>
      <c r="AC9" s="152" t="str">
        <f>$E$2&amp;"a"</f>
        <v>PJa</v>
      </c>
      <c r="AD9" s="154"/>
      <c r="AE9" s="152"/>
      <c r="AF9" s="152"/>
    </row>
    <row r="10" spans="2:32" ht="13.5" customHeight="1">
      <c r="B10" s="152"/>
      <c r="C10" s="152"/>
      <c r="D10" s="152" t="str">
        <f>$B$2&amp;'EB1'!$P$9</f>
        <v>ELCOIL</v>
      </c>
      <c r="E10" s="153" t="s">
        <v>58</v>
      </c>
      <c r="F10" s="153" t="s">
        <v>94</v>
      </c>
      <c r="G10" s="153" t="s">
        <v>799</v>
      </c>
      <c r="H10" s="391" t="str">
        <f t="shared" si="0"/>
        <v>Electricity -:- Thermal -:- Electricity Production</v>
      </c>
      <c r="I10" s="153" t="s">
        <v>464</v>
      </c>
      <c r="J10" s="152" t="str">
        <f t="shared" si="1"/>
        <v>PJ</v>
      </c>
      <c r="K10" s="152" t="s">
        <v>697</v>
      </c>
      <c r="L10" s="154"/>
      <c r="M10" s="152"/>
      <c r="N10" s="152"/>
      <c r="R10" s="152"/>
      <c r="S10" s="152"/>
      <c r="T10" s="152" t="s">
        <v>451</v>
      </c>
      <c r="U10" s="153" t="s">
        <v>58</v>
      </c>
      <c r="V10" s="153"/>
      <c r="W10" s="153"/>
      <c r="X10" s="153"/>
      <c r="Y10" s="153" t="s">
        <v>122</v>
      </c>
      <c r="Z10" s="401" t="str">
        <f t="shared" ref="Z10:Z21" si="2" xml:space="preserve"> _xlfn.CONCAT( U10, " -:- ", V10, " -:- ", W10, " -:- ", X10, " -:- ", Y10 )</f>
        <v>Electricity -:-  -:-  -:-  -:- Coal</v>
      </c>
      <c r="AA10" s="153" t="s">
        <v>476</v>
      </c>
      <c r="AB10" s="152" t="str">
        <f t="shared" ref="AB10:AB21" si="3">$E$2</f>
        <v>PJ</v>
      </c>
      <c r="AC10" s="152" t="str">
        <f t="shared" ref="AC10:AC21" si="4">$E$2&amp;"a"</f>
        <v>PJa</v>
      </c>
      <c r="AD10" s="154"/>
      <c r="AE10" s="152"/>
      <c r="AF10" s="152"/>
    </row>
    <row r="11" spans="2:32" ht="13.5" customHeight="1">
      <c r="B11" s="152"/>
      <c r="C11" s="152"/>
      <c r="D11" s="152" t="str">
        <f>$B$2&amp;'EB1'!$Q$9</f>
        <v>ELCNGA</v>
      </c>
      <c r="E11" s="153" t="s">
        <v>58</v>
      </c>
      <c r="F11" s="153" t="s">
        <v>94</v>
      </c>
      <c r="G11" s="153" t="s">
        <v>799</v>
      </c>
      <c r="H11" s="391" t="str">
        <f t="shared" si="0"/>
        <v>Electricity -:- Thermal -:- Electricity Production</v>
      </c>
      <c r="I11" s="153" t="s">
        <v>465</v>
      </c>
      <c r="J11" s="152" t="str">
        <f t="shared" si="1"/>
        <v>PJ</v>
      </c>
      <c r="K11" s="152" t="s">
        <v>697</v>
      </c>
      <c r="L11" s="154"/>
      <c r="M11" s="152"/>
      <c r="N11" s="152"/>
      <c r="R11" s="152"/>
      <c r="S11" s="152"/>
      <c r="T11" s="152" t="s">
        <v>452</v>
      </c>
      <c r="U11" s="153" t="s">
        <v>58</v>
      </c>
      <c r="V11" s="153"/>
      <c r="W11" s="153"/>
      <c r="X11" s="153"/>
      <c r="Y11" s="153" t="s">
        <v>123</v>
      </c>
      <c r="Z11" s="401" t="str">
        <f t="shared" si="2"/>
        <v>Electricity -:-  -:-  -:-  -:- Oil</v>
      </c>
      <c r="AA11" s="153" t="s">
        <v>477</v>
      </c>
      <c r="AB11" s="152" t="str">
        <f t="shared" si="3"/>
        <v>PJ</v>
      </c>
      <c r="AC11" s="152" t="str">
        <f t="shared" si="4"/>
        <v>PJa</v>
      </c>
      <c r="AD11" s="154"/>
      <c r="AE11" s="152"/>
      <c r="AF11" s="152"/>
    </row>
    <row r="12" spans="2:32" ht="13.5" customHeight="1">
      <c r="B12" s="152"/>
      <c r="C12" s="152"/>
      <c r="D12" s="152" t="str">
        <f>$B$2&amp;'EB1'!$R$9</f>
        <v>ELCHYD</v>
      </c>
      <c r="E12" s="153" t="s">
        <v>58</v>
      </c>
      <c r="F12" s="153" t="s">
        <v>137</v>
      </c>
      <c r="G12" s="153" t="s">
        <v>799</v>
      </c>
      <c r="H12" s="391" t="str">
        <f t="shared" si="0"/>
        <v>Electricity -:- Hydro -:- Electricity Production</v>
      </c>
      <c r="I12" s="153" t="s">
        <v>466</v>
      </c>
      <c r="J12" s="152" t="str">
        <f t="shared" si="1"/>
        <v>PJ</v>
      </c>
      <c r="K12" s="152" t="s">
        <v>697</v>
      </c>
      <c r="L12" s="154"/>
      <c r="M12" s="152"/>
      <c r="N12" s="152"/>
      <c r="R12" s="152"/>
      <c r="S12" s="152"/>
      <c r="T12" s="152" t="s">
        <v>453</v>
      </c>
      <c r="U12" s="153" t="s">
        <v>58</v>
      </c>
      <c r="V12" s="153"/>
      <c r="W12" s="153"/>
      <c r="X12" s="153"/>
      <c r="Y12" s="153" t="s">
        <v>45</v>
      </c>
      <c r="Z12" s="401" t="str">
        <f t="shared" si="2"/>
        <v>Electricity -:-  -:-  -:-  -:- Natural Gas</v>
      </c>
      <c r="AA12" s="153" t="s">
        <v>478</v>
      </c>
      <c r="AB12" s="152" t="str">
        <f t="shared" si="3"/>
        <v>PJ</v>
      </c>
      <c r="AC12" s="152" t="str">
        <f t="shared" si="4"/>
        <v>PJa</v>
      </c>
      <c r="AD12" s="154"/>
      <c r="AE12" s="152"/>
      <c r="AF12" s="152"/>
    </row>
    <row r="13" spans="2:32" ht="13.5" customHeight="1">
      <c r="B13" s="152"/>
      <c r="C13" s="152"/>
      <c r="D13" s="152" t="str">
        <f>$B$2&amp;'EB1'!$S$9</f>
        <v>ELCGEO</v>
      </c>
      <c r="E13" s="153" t="s">
        <v>58</v>
      </c>
      <c r="F13" s="153" t="s">
        <v>138</v>
      </c>
      <c r="G13" s="153" t="s">
        <v>799</v>
      </c>
      <c r="H13" s="391" t="str">
        <f t="shared" si="0"/>
        <v>Electricity -:- Geothermal -:- Electricity Production</v>
      </c>
      <c r="I13" s="153" t="s">
        <v>467</v>
      </c>
      <c r="J13" s="152" t="str">
        <f t="shared" si="1"/>
        <v>PJ</v>
      </c>
      <c r="K13" s="152" t="s">
        <v>697</v>
      </c>
      <c r="L13" s="154"/>
      <c r="M13" s="152"/>
      <c r="N13" s="152"/>
      <c r="R13" s="152"/>
      <c r="S13" s="152"/>
      <c r="T13" s="152" t="s">
        <v>454</v>
      </c>
      <c r="U13" s="153" t="s">
        <v>58</v>
      </c>
      <c r="V13" s="153"/>
      <c r="W13" s="153"/>
      <c r="X13" s="153"/>
      <c r="Y13" s="153" t="s">
        <v>137</v>
      </c>
      <c r="Z13" s="401" t="str">
        <f t="shared" si="2"/>
        <v>Electricity -:-  -:-  -:-  -:- Hydro</v>
      </c>
      <c r="AA13" s="153" t="s">
        <v>479</v>
      </c>
      <c r="AB13" s="152" t="str">
        <f t="shared" si="3"/>
        <v>PJ</v>
      </c>
      <c r="AC13" s="152" t="str">
        <f t="shared" si="4"/>
        <v>PJa</v>
      </c>
      <c r="AD13" s="154"/>
      <c r="AE13" s="152"/>
      <c r="AF13" s="152"/>
    </row>
    <row r="14" spans="2:32" ht="13.5" customHeight="1">
      <c r="B14" s="152"/>
      <c r="C14" s="152"/>
      <c r="D14" s="152" t="str">
        <f>$B$2&amp;'EB1'!$T$9</f>
        <v>ELCSOL</v>
      </c>
      <c r="E14" s="153" t="s">
        <v>58</v>
      </c>
      <c r="F14" s="153" t="s">
        <v>139</v>
      </c>
      <c r="G14" s="153" t="s">
        <v>799</v>
      </c>
      <c r="H14" s="391" t="str">
        <f t="shared" si="0"/>
        <v>Electricity -:- Solar -:- Electricity Production</v>
      </c>
      <c r="I14" s="153" t="s">
        <v>468</v>
      </c>
      <c r="J14" s="152" t="str">
        <f t="shared" si="1"/>
        <v>PJ</v>
      </c>
      <c r="K14" s="152" t="s">
        <v>697</v>
      </c>
      <c r="L14" s="154"/>
      <c r="M14" s="152"/>
      <c r="N14" s="152"/>
      <c r="R14" s="152"/>
      <c r="S14" s="152"/>
      <c r="T14" s="152" t="s">
        <v>455</v>
      </c>
      <c r="U14" s="153" t="s">
        <v>58</v>
      </c>
      <c r="V14" s="153"/>
      <c r="W14" s="153"/>
      <c r="X14" s="153"/>
      <c r="Y14" s="153" t="s">
        <v>138</v>
      </c>
      <c r="Z14" s="401" t="str">
        <f t="shared" si="2"/>
        <v>Electricity -:-  -:-  -:-  -:- Geothermal</v>
      </c>
      <c r="AA14" s="153" t="s">
        <v>480</v>
      </c>
      <c r="AB14" s="152" t="str">
        <f t="shared" si="3"/>
        <v>PJ</v>
      </c>
      <c r="AC14" s="152" t="str">
        <f t="shared" si="4"/>
        <v>PJa</v>
      </c>
      <c r="AD14" s="154"/>
      <c r="AE14" s="152"/>
      <c r="AF14" s="152"/>
    </row>
    <row r="15" spans="2:32" ht="13.5" customHeight="1">
      <c r="B15" s="152"/>
      <c r="C15" s="152"/>
      <c r="D15" s="152" t="str">
        <f>$B$2&amp;'EB1'!$U$9</f>
        <v>ELCWIN</v>
      </c>
      <c r="E15" s="153" t="s">
        <v>58</v>
      </c>
      <c r="F15" s="153" t="s">
        <v>140</v>
      </c>
      <c r="G15" s="153" t="s">
        <v>799</v>
      </c>
      <c r="H15" s="391" t="str">
        <f t="shared" si="0"/>
        <v>Electricity -:- Wind -:- Electricity Production</v>
      </c>
      <c r="I15" s="153" t="s">
        <v>469</v>
      </c>
      <c r="J15" s="152" t="str">
        <f t="shared" si="1"/>
        <v>PJ</v>
      </c>
      <c r="K15" s="152" t="s">
        <v>697</v>
      </c>
      <c r="L15" s="154"/>
      <c r="M15" s="152"/>
      <c r="N15" s="152"/>
      <c r="R15" s="152"/>
      <c r="S15" s="152"/>
      <c r="T15" s="152" t="s">
        <v>456</v>
      </c>
      <c r="U15" s="153" t="s">
        <v>58</v>
      </c>
      <c r="V15" s="153"/>
      <c r="W15" s="153"/>
      <c r="X15" s="153"/>
      <c r="Y15" s="153" t="s">
        <v>139</v>
      </c>
      <c r="Z15" s="401" t="str">
        <f t="shared" si="2"/>
        <v>Electricity -:-  -:-  -:-  -:- Solar</v>
      </c>
      <c r="AA15" s="153" t="s">
        <v>481</v>
      </c>
      <c r="AB15" s="152" t="str">
        <f t="shared" si="3"/>
        <v>PJ</v>
      </c>
      <c r="AC15" s="152" t="str">
        <f t="shared" si="4"/>
        <v>PJa</v>
      </c>
      <c r="AD15" s="154"/>
      <c r="AE15" s="152"/>
      <c r="AF15" s="152"/>
    </row>
    <row r="16" spans="2:32" ht="13.5" customHeight="1">
      <c r="B16" s="152"/>
      <c r="C16" s="152"/>
      <c r="D16" s="152" t="str">
        <f>$B$2&amp;'EB1'!$V$9</f>
        <v>ELCBIL</v>
      </c>
      <c r="E16" s="153" t="s">
        <v>58</v>
      </c>
      <c r="F16" s="153" t="s">
        <v>94</v>
      </c>
      <c r="G16" s="153" t="s">
        <v>799</v>
      </c>
      <c r="H16" s="391" t="str">
        <f t="shared" si="0"/>
        <v>Electricity -:- Thermal -:- Electricity Production</v>
      </c>
      <c r="I16" s="153" t="s">
        <v>470</v>
      </c>
      <c r="J16" s="152" t="str">
        <f t="shared" si="1"/>
        <v>PJ</v>
      </c>
      <c r="K16" s="152" t="s">
        <v>697</v>
      </c>
      <c r="L16" s="154"/>
      <c r="M16" s="152"/>
      <c r="N16" s="152"/>
      <c r="R16" s="152"/>
      <c r="S16" s="152"/>
      <c r="T16" s="152" t="s">
        <v>457</v>
      </c>
      <c r="U16" s="153" t="s">
        <v>58</v>
      </c>
      <c r="V16" s="153"/>
      <c r="W16" s="153"/>
      <c r="X16" s="153"/>
      <c r="Y16" s="153" t="s">
        <v>140</v>
      </c>
      <c r="Z16" s="401" t="str">
        <f t="shared" si="2"/>
        <v>Electricity -:-  -:-  -:-  -:- Wind</v>
      </c>
      <c r="AA16" s="153" t="s">
        <v>482</v>
      </c>
      <c r="AB16" s="152" t="str">
        <f t="shared" si="3"/>
        <v>PJ</v>
      </c>
      <c r="AC16" s="152" t="str">
        <f t="shared" si="4"/>
        <v>PJa</v>
      </c>
      <c r="AD16" s="154"/>
      <c r="AE16" s="152"/>
      <c r="AF16" s="152"/>
    </row>
    <row r="17" spans="2:32" ht="13.5" customHeight="1">
      <c r="B17" s="152"/>
      <c r="C17" s="152"/>
      <c r="D17" s="152" t="str">
        <f>$B$2&amp;'EB1'!$W$9</f>
        <v>ELCBIG</v>
      </c>
      <c r="E17" s="153" t="s">
        <v>58</v>
      </c>
      <c r="F17" s="153" t="s">
        <v>94</v>
      </c>
      <c r="G17" s="153" t="s">
        <v>799</v>
      </c>
      <c r="H17" s="391" t="str">
        <f t="shared" si="0"/>
        <v>Electricity -:- Thermal -:- Electricity Production</v>
      </c>
      <c r="I17" s="153" t="s">
        <v>471</v>
      </c>
      <c r="J17" s="152" t="str">
        <f t="shared" si="1"/>
        <v>PJ</v>
      </c>
      <c r="K17" s="152" t="s">
        <v>697</v>
      </c>
      <c r="L17" s="154"/>
      <c r="M17" s="152"/>
      <c r="N17" s="152"/>
      <c r="R17" s="144"/>
      <c r="S17" s="152"/>
      <c r="T17" s="152" t="s">
        <v>458</v>
      </c>
      <c r="U17" s="153" t="s">
        <v>58</v>
      </c>
      <c r="V17" s="153"/>
      <c r="W17" s="153"/>
      <c r="X17" s="153"/>
      <c r="Y17" s="153" t="s">
        <v>141</v>
      </c>
      <c r="Z17" s="401" t="str">
        <f t="shared" si="2"/>
        <v>Electricity -:-  -:-  -:-  -:- Liquid Biofuels</v>
      </c>
      <c r="AA17" s="153" t="s">
        <v>483</v>
      </c>
      <c r="AB17" s="152" t="str">
        <f>$E$2</f>
        <v>PJ</v>
      </c>
      <c r="AC17" s="152" t="str">
        <f>$E$2&amp;"a"</f>
        <v>PJa</v>
      </c>
      <c r="AD17" s="154"/>
      <c r="AE17" s="144"/>
      <c r="AF17" s="144"/>
    </row>
    <row r="18" spans="2:32" ht="13.5" customHeight="1">
      <c r="B18" s="145"/>
      <c r="C18" s="152"/>
      <c r="D18" s="152" t="str">
        <f>$B$2&amp;'EB1'!$X$9</f>
        <v>ELCWOD</v>
      </c>
      <c r="E18" s="153" t="s">
        <v>58</v>
      </c>
      <c r="F18" s="153" t="s">
        <v>94</v>
      </c>
      <c r="G18" s="153" t="s">
        <v>799</v>
      </c>
      <c r="H18" s="391" t="str">
        <f t="shared" si="0"/>
        <v>Electricity -:- Thermal -:- Electricity Production</v>
      </c>
      <c r="I18" s="153" t="s">
        <v>472</v>
      </c>
      <c r="J18" s="152" t="str">
        <f t="shared" si="1"/>
        <v>PJ</v>
      </c>
      <c r="K18" s="152" t="s">
        <v>697</v>
      </c>
      <c r="L18" s="154"/>
      <c r="M18" s="145"/>
      <c r="N18" s="145"/>
      <c r="R18" s="144"/>
      <c r="S18" s="152"/>
      <c r="T18" s="152" t="s">
        <v>459</v>
      </c>
      <c r="U18" s="153" t="s">
        <v>58</v>
      </c>
      <c r="V18" s="153"/>
      <c r="W18" s="153"/>
      <c r="X18" s="153"/>
      <c r="Y18" s="153" t="s">
        <v>142</v>
      </c>
      <c r="Z18" s="401" t="str">
        <f t="shared" si="2"/>
        <v>Electricity -:-  -:-  -:-  -:- Biogas</v>
      </c>
      <c r="AA18" s="153" t="s">
        <v>484</v>
      </c>
      <c r="AB18" s="152" t="str">
        <f t="shared" si="3"/>
        <v>PJ</v>
      </c>
      <c r="AC18" s="152" t="str">
        <f t="shared" si="4"/>
        <v>PJa</v>
      </c>
      <c r="AD18" s="154"/>
      <c r="AE18" s="144"/>
      <c r="AF18" s="144"/>
    </row>
    <row r="19" spans="2:32" ht="13.5" customHeight="1">
      <c r="B19" s="144"/>
      <c r="C19" s="152"/>
      <c r="D19" s="152" t="str">
        <f>$B$2&amp;'EB1'!$Y$9</f>
        <v>ELCTID</v>
      </c>
      <c r="E19" s="153" t="s">
        <v>58</v>
      </c>
      <c r="F19" s="153" t="s">
        <v>441</v>
      </c>
      <c r="G19" s="153" t="s">
        <v>799</v>
      </c>
      <c r="H19" s="391" t="str">
        <f t="shared" si="0"/>
        <v>Electricity -:- Tidal -:- Electricity Production</v>
      </c>
      <c r="I19" s="144" t="s">
        <v>473</v>
      </c>
      <c r="J19" s="152" t="str">
        <f t="shared" si="1"/>
        <v>PJ</v>
      </c>
      <c r="K19" s="152" t="s">
        <v>697</v>
      </c>
      <c r="L19" s="154"/>
      <c r="M19" s="144"/>
      <c r="N19" s="144"/>
      <c r="R19" s="144"/>
      <c r="S19" s="152"/>
      <c r="T19" s="152" t="s">
        <v>460</v>
      </c>
      <c r="U19" s="153" t="s">
        <v>58</v>
      </c>
      <c r="V19" s="153"/>
      <c r="W19" s="153"/>
      <c r="X19" s="153"/>
      <c r="Y19" s="153" t="s">
        <v>143</v>
      </c>
      <c r="Z19" s="401" t="str">
        <f t="shared" si="2"/>
        <v>Electricity -:-  -:-  -:-  -:- Wood</v>
      </c>
      <c r="AA19" s="153" t="s">
        <v>485</v>
      </c>
      <c r="AB19" s="152" t="str">
        <f t="shared" si="3"/>
        <v>PJ</v>
      </c>
      <c r="AC19" s="152" t="str">
        <f t="shared" si="4"/>
        <v>PJa</v>
      </c>
      <c r="AD19" s="154"/>
      <c r="AE19" s="144"/>
      <c r="AF19" s="144"/>
    </row>
    <row r="20" spans="2:32" ht="13.5" customHeight="1">
      <c r="B20" s="144"/>
      <c r="C20" s="152"/>
      <c r="D20" s="152" t="str">
        <f>$B$2&amp;"URN"</f>
        <v>ELCURN</v>
      </c>
      <c r="E20" s="153" t="s">
        <v>58</v>
      </c>
      <c r="F20" s="153" t="s">
        <v>94</v>
      </c>
      <c r="G20" s="153" t="s">
        <v>799</v>
      </c>
      <c r="H20" s="391" t="str">
        <f t="shared" si="0"/>
        <v>Electricity -:- Thermal -:- Electricity Production</v>
      </c>
      <c r="I20" s="144" t="s">
        <v>493</v>
      </c>
      <c r="J20" s="152" t="str">
        <f t="shared" si="1"/>
        <v>PJ</v>
      </c>
      <c r="K20" s="152" t="s">
        <v>697</v>
      </c>
      <c r="L20" s="154"/>
      <c r="M20" s="144"/>
      <c r="N20" s="144"/>
      <c r="R20" s="144"/>
      <c r="S20" s="152"/>
      <c r="T20" s="152" t="s">
        <v>461</v>
      </c>
      <c r="U20" s="153" t="s">
        <v>58</v>
      </c>
      <c r="V20" s="153"/>
      <c r="W20" s="153"/>
      <c r="X20" s="153"/>
      <c r="Y20" s="153" t="s">
        <v>441</v>
      </c>
      <c r="Z20" s="401" t="str">
        <f t="shared" si="2"/>
        <v>Electricity -:-  -:-  -:-  -:- Tidal</v>
      </c>
      <c r="AA20" s="153" t="s">
        <v>486</v>
      </c>
      <c r="AB20" s="152" t="str">
        <f t="shared" si="3"/>
        <v>PJ</v>
      </c>
      <c r="AC20" s="152" t="str">
        <f t="shared" si="4"/>
        <v>PJa</v>
      </c>
      <c r="AD20" s="154"/>
      <c r="AE20" s="144"/>
      <c r="AF20" s="144"/>
    </row>
    <row r="21" spans="2:32" ht="13.5" customHeight="1">
      <c r="B21" s="144" t="s">
        <v>72</v>
      </c>
      <c r="C21" s="152"/>
      <c r="D21" s="152" t="s">
        <v>445</v>
      </c>
      <c r="E21" s="153" t="s">
        <v>58</v>
      </c>
      <c r="F21" s="153" t="s">
        <v>794</v>
      </c>
      <c r="G21" s="153" t="s">
        <v>799</v>
      </c>
      <c r="H21" s="391" t="str">
        <f t="shared" si="0"/>
        <v>Electricity -:- Electricity Storage -:- Electricity Production</v>
      </c>
      <c r="I21" s="144" t="s">
        <v>474</v>
      </c>
      <c r="J21" s="152" t="str">
        <f t="shared" si="1"/>
        <v>PJ</v>
      </c>
      <c r="K21" s="73" t="s">
        <v>69</v>
      </c>
      <c r="L21" s="154" t="s">
        <v>96</v>
      </c>
      <c r="M21" s="144"/>
      <c r="N21" s="144"/>
      <c r="P21" s="58" t="s">
        <v>728</v>
      </c>
      <c r="S21" s="148"/>
      <c r="T21" s="152" t="s">
        <v>495</v>
      </c>
      <c r="U21" s="153" t="s">
        <v>58</v>
      </c>
      <c r="V21" s="153"/>
      <c r="W21" s="153"/>
      <c r="X21" s="153"/>
      <c r="Y21" s="153" t="s">
        <v>805</v>
      </c>
      <c r="Z21" s="401" t="str">
        <f t="shared" si="2"/>
        <v>Electricity -:-  -:-  -:-  -:- Uranium</v>
      </c>
      <c r="AA21" s="153" t="s">
        <v>494</v>
      </c>
      <c r="AB21" s="152" t="str">
        <f t="shared" si="3"/>
        <v>PJ</v>
      </c>
      <c r="AC21" s="152" t="str">
        <f t="shared" si="4"/>
        <v>PJa</v>
      </c>
      <c r="AD21" s="154"/>
    </row>
    <row r="22" spans="2:32" ht="13.5" customHeight="1">
      <c r="C22" s="148"/>
      <c r="D22" s="148"/>
      <c r="E22" s="388"/>
      <c r="F22" s="388"/>
      <c r="L22" s="148"/>
      <c r="M22" s="57"/>
      <c r="N22" s="351"/>
    </row>
    <row r="23" spans="2:32" ht="13.5" customHeight="1"/>
    <row r="24" spans="2:32" ht="13.5" customHeight="1"/>
    <row r="25" spans="2:32" ht="13.5" customHeight="1">
      <c r="B25" s="59"/>
      <c r="C25" s="59"/>
      <c r="D25" s="157" t="s">
        <v>13</v>
      </c>
      <c r="E25" s="157"/>
      <c r="F25" s="157"/>
      <c r="G25" s="59"/>
      <c r="H25" s="59"/>
    </row>
    <row r="26" spans="2:32" ht="13.5" customHeight="1">
      <c r="B26" s="158" t="s">
        <v>1</v>
      </c>
      <c r="C26" s="158" t="s">
        <v>5</v>
      </c>
      <c r="D26" s="158" t="s">
        <v>6</v>
      </c>
      <c r="E26" s="159" t="s">
        <v>106</v>
      </c>
      <c r="F26" s="159" t="s">
        <v>101</v>
      </c>
      <c r="G26" s="159" t="s">
        <v>57</v>
      </c>
      <c r="H26" s="159" t="s">
        <v>54</v>
      </c>
      <c r="I26" s="159" t="s">
        <v>114</v>
      </c>
      <c r="J26" s="159" t="s">
        <v>56</v>
      </c>
      <c r="K26" s="159" t="s">
        <v>83</v>
      </c>
    </row>
    <row r="27" spans="2:32" ht="13.5" customHeight="1">
      <c r="B27" s="160" t="s">
        <v>37</v>
      </c>
      <c r="C27" s="160" t="s">
        <v>32</v>
      </c>
      <c r="D27" s="160" t="s">
        <v>33</v>
      </c>
      <c r="E27" s="160" t="s">
        <v>105</v>
      </c>
      <c r="F27" s="160" t="s">
        <v>34</v>
      </c>
      <c r="G27" s="160" t="s">
        <v>59</v>
      </c>
      <c r="H27" s="160" t="s">
        <v>112</v>
      </c>
      <c r="I27" s="160" t="s">
        <v>714</v>
      </c>
      <c r="J27" s="160" t="s">
        <v>717</v>
      </c>
      <c r="K27" s="160" t="s">
        <v>718</v>
      </c>
    </row>
    <row r="28" spans="2:32" ht="13.5" customHeight="1">
      <c r="B28" s="160" t="s">
        <v>60</v>
      </c>
      <c r="C28" s="160"/>
      <c r="D28" s="160"/>
      <c r="E28" s="78"/>
      <c r="F28" s="78" t="str">
        <f>F2&amp;"a"</f>
        <v>Milion NZD (2015)a</v>
      </c>
      <c r="G28" s="78"/>
      <c r="H28" s="78" t="s">
        <v>61</v>
      </c>
      <c r="I28" s="78" t="s">
        <v>716</v>
      </c>
      <c r="J28" s="78" t="s">
        <v>716</v>
      </c>
      <c r="K28" s="78" t="s">
        <v>715</v>
      </c>
    </row>
    <row r="29" spans="2:32" ht="13.5" customHeight="1">
      <c r="B29" s="152" t="str">
        <f>T9</f>
        <v>FTE_ELCCOA</v>
      </c>
      <c r="C29" s="145" t="str">
        <f>RIGHT(D29,3)</f>
        <v>COA</v>
      </c>
      <c r="D29" s="152" t="str">
        <f>D8</f>
        <v>ELCCOA</v>
      </c>
      <c r="E29" s="161"/>
      <c r="F29" s="161"/>
      <c r="G29" s="162">
        <v>1</v>
      </c>
      <c r="H29" s="163">
        <v>100</v>
      </c>
    </row>
    <row r="30" spans="2:32" ht="13.5" customHeight="1">
      <c r="B30" s="152" t="str">
        <f>T10</f>
        <v>FTE_ELCCOL</v>
      </c>
      <c r="C30" s="145" t="str">
        <f t="shared" ref="C30" si="5">RIGHT(D30,3)</f>
        <v>COL</v>
      </c>
      <c r="D30" s="152" t="str">
        <f>D9</f>
        <v>ELCCOL</v>
      </c>
      <c r="E30" s="161"/>
      <c r="F30" s="161"/>
      <c r="G30" s="162">
        <v>1</v>
      </c>
      <c r="H30" s="163">
        <v>100</v>
      </c>
    </row>
    <row r="31" spans="2:32" ht="13.5" customHeight="1">
      <c r="B31" s="152" t="str">
        <f>T11</f>
        <v>FTE_ELCOIL</v>
      </c>
      <c r="C31" s="145" t="str">
        <f>'EB1'!L$9</f>
        <v>DSL</v>
      </c>
      <c r="D31" s="152" t="str">
        <f>D10</f>
        <v>ELCOIL</v>
      </c>
      <c r="E31" s="164">
        <v>1</v>
      </c>
      <c r="F31" s="161"/>
      <c r="G31" s="162">
        <v>1</v>
      </c>
      <c r="H31" s="163">
        <v>100</v>
      </c>
    </row>
    <row r="32" spans="2:32" ht="13.5" customHeight="1">
      <c r="B32" s="152"/>
      <c r="C32" s="145" t="str">
        <f>'EB1'!M$9</f>
        <v>FOL</v>
      </c>
      <c r="D32" s="152"/>
      <c r="E32" s="164">
        <v>0</v>
      </c>
      <c r="F32" s="161"/>
      <c r="G32" s="162"/>
      <c r="H32" s="163"/>
    </row>
    <row r="33" spans="2:16">
      <c r="B33" s="152" t="str">
        <f>T12</f>
        <v>FTE_ELCNGA</v>
      </c>
      <c r="C33" s="145" t="str">
        <f>RIGHT(D33,3)</f>
        <v>NGA</v>
      </c>
      <c r="D33" s="152" t="str">
        <f>D11</f>
        <v>ELCNGA</v>
      </c>
      <c r="E33" s="161">
        <v>1</v>
      </c>
      <c r="F33" s="161"/>
      <c r="G33" s="162">
        <v>1</v>
      </c>
      <c r="H33" s="163">
        <v>100</v>
      </c>
      <c r="K33" s="58">
        <v>0.746</v>
      </c>
      <c r="M33" s="58" t="s">
        <v>729</v>
      </c>
      <c r="P33" s="58" t="str">
        <f>'[2]Gas Tx'!$A$29</f>
        <v>KS: Mean value, while awaiting industry response:</v>
      </c>
    </row>
    <row r="34" spans="2:16">
      <c r="B34" s="152" t="s">
        <v>780</v>
      </c>
      <c r="C34" s="145" t="s">
        <v>640</v>
      </c>
      <c r="D34" s="152"/>
      <c r="E34" s="161">
        <v>1</v>
      </c>
      <c r="F34" s="161"/>
      <c r="G34" s="162"/>
      <c r="H34" s="163"/>
    </row>
    <row r="35" spans="2:16">
      <c r="B35" s="152" t="str">
        <f t="shared" ref="B35:B43" si="6">T13</f>
        <v>FTE_ELCHYD</v>
      </c>
      <c r="C35" s="145" t="str">
        <f t="shared" ref="C35:C41" si="7">RIGHT(D35,3)</f>
        <v>HYD</v>
      </c>
      <c r="D35" s="152" t="str">
        <f t="shared" ref="D35:D43" si="8">D12</f>
        <v>ELCHYD</v>
      </c>
      <c r="E35" s="161"/>
      <c r="F35" s="161"/>
      <c r="G35" s="162">
        <v>1</v>
      </c>
      <c r="H35" s="163">
        <v>100</v>
      </c>
    </row>
    <row r="36" spans="2:16">
      <c r="B36" s="152" t="str">
        <f t="shared" si="6"/>
        <v>FTE_ELCGEO</v>
      </c>
      <c r="C36" s="145" t="str">
        <f t="shared" si="7"/>
        <v>GEO</v>
      </c>
      <c r="D36" s="152" t="str">
        <f t="shared" si="8"/>
        <v>ELCGEO</v>
      </c>
      <c r="E36" s="161"/>
      <c r="F36" s="161"/>
      <c r="G36" s="162">
        <v>1</v>
      </c>
      <c r="H36" s="163">
        <v>100</v>
      </c>
    </row>
    <row r="37" spans="2:16">
      <c r="B37" s="152" t="str">
        <f t="shared" si="6"/>
        <v>FTE_ELCSOL</v>
      </c>
      <c r="C37" s="145" t="str">
        <f t="shared" si="7"/>
        <v>SOL</v>
      </c>
      <c r="D37" s="152" t="str">
        <f t="shared" si="8"/>
        <v>ELCSOL</v>
      </c>
      <c r="E37" s="161"/>
      <c r="F37" s="161"/>
      <c r="G37" s="162">
        <v>1</v>
      </c>
      <c r="H37" s="163">
        <v>100</v>
      </c>
    </row>
    <row r="38" spans="2:16">
      <c r="B38" s="152" t="str">
        <f t="shared" si="6"/>
        <v>FTE_ELCWIN</v>
      </c>
      <c r="C38" s="145" t="str">
        <f t="shared" si="7"/>
        <v>WIN</v>
      </c>
      <c r="D38" s="152" t="str">
        <f t="shared" si="8"/>
        <v>ELCWIN</v>
      </c>
      <c r="E38" s="161"/>
      <c r="F38" s="161"/>
      <c r="G38" s="162">
        <v>1</v>
      </c>
      <c r="H38" s="163">
        <v>100</v>
      </c>
    </row>
    <row r="39" spans="2:16">
      <c r="B39" s="152" t="str">
        <f t="shared" si="6"/>
        <v>FTE_ELCBIL</v>
      </c>
      <c r="C39" s="145" t="str">
        <f>RIGHT(D39,3)</f>
        <v>BIL</v>
      </c>
      <c r="D39" s="152" t="str">
        <f t="shared" si="8"/>
        <v>ELCBIL</v>
      </c>
      <c r="E39" s="144"/>
      <c r="F39" s="144"/>
      <c r="G39" s="162">
        <v>1</v>
      </c>
      <c r="H39" s="163">
        <v>100</v>
      </c>
    </row>
    <row r="40" spans="2:16">
      <c r="B40" s="152" t="str">
        <f t="shared" si="6"/>
        <v>FTE_ELCBIG</v>
      </c>
      <c r="C40" s="145" t="str">
        <f t="shared" si="7"/>
        <v>BIG</v>
      </c>
      <c r="D40" s="152" t="str">
        <f t="shared" si="8"/>
        <v>ELCBIG</v>
      </c>
      <c r="E40" s="144"/>
      <c r="F40" s="144"/>
      <c r="G40" s="162">
        <v>1</v>
      </c>
      <c r="H40" s="163">
        <v>100</v>
      </c>
    </row>
    <row r="41" spans="2:16">
      <c r="B41" s="152" t="str">
        <f t="shared" si="6"/>
        <v>FTE_ELCWOD</v>
      </c>
      <c r="C41" s="145" t="str">
        <f t="shared" si="7"/>
        <v>WOD</v>
      </c>
      <c r="D41" s="152" t="str">
        <f t="shared" si="8"/>
        <v>ELCWOD</v>
      </c>
      <c r="E41" s="144"/>
      <c r="F41" s="144"/>
      <c r="G41" s="162">
        <v>1</v>
      </c>
      <c r="H41" s="163">
        <v>100</v>
      </c>
    </row>
    <row r="42" spans="2:16">
      <c r="B42" s="152" t="str">
        <f t="shared" si="6"/>
        <v>FTE_ELCTID</v>
      </c>
      <c r="C42" s="144" t="s">
        <v>442</v>
      </c>
      <c r="D42" s="152" t="str">
        <f t="shared" si="8"/>
        <v>ELCTID</v>
      </c>
      <c r="E42" s="144"/>
      <c r="F42" s="145"/>
      <c r="G42" s="162">
        <v>1</v>
      </c>
      <c r="H42" s="163">
        <v>100</v>
      </c>
    </row>
    <row r="43" spans="2:16">
      <c r="B43" s="152" t="str">
        <f t="shared" si="6"/>
        <v>FTE_ELCURN</v>
      </c>
      <c r="C43" s="144" t="s">
        <v>496</v>
      </c>
      <c r="D43" s="152" t="str">
        <f t="shared" si="8"/>
        <v>ELCURN</v>
      </c>
      <c r="E43" s="144"/>
      <c r="F43" s="145"/>
      <c r="G43" s="162">
        <v>1</v>
      </c>
      <c r="H43" s="16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B1" activePane="topRight" state="frozen"/>
      <selection pane="topRight" activeCell="Q14" sqref="Q14:Q29"/>
    </sheetView>
  </sheetViews>
  <sheetFormatPr defaultColWidth="8.85546875" defaultRowHeight="12.75"/>
  <cols>
    <col min="1" max="1" width="18.140625" style="56" customWidth="1"/>
    <col min="2" max="2" width="13.42578125" style="56" customWidth="1"/>
    <col min="3" max="3" width="18.140625" style="56" customWidth="1"/>
    <col min="4" max="4" width="13.140625" style="56" customWidth="1"/>
    <col min="5" max="5" width="9.85546875" style="56" customWidth="1"/>
    <col min="6" max="6" width="28.42578125" style="56" customWidth="1"/>
    <col min="7" max="7" width="29.7109375" style="56" customWidth="1"/>
    <col min="8" max="8" width="17.85546875" style="56" customWidth="1"/>
    <col min="9" max="9" width="8" style="56" customWidth="1"/>
    <col min="10" max="10" width="7.7109375" style="56" customWidth="1"/>
    <col min="11" max="11" width="14" style="56" customWidth="1"/>
    <col min="12" max="12" width="13.42578125" style="56" customWidth="1"/>
    <col min="13" max="14" width="11.28515625" style="56" customWidth="1"/>
    <col min="15" max="15" width="7.85546875" style="56" bestFit="1" customWidth="1"/>
    <col min="16" max="16" width="7.85546875" style="56" customWidth="1"/>
    <col min="17" max="17" width="29.140625" style="56" customWidth="1"/>
    <col min="18" max="18" width="19.85546875" style="56" customWidth="1"/>
    <col min="19" max="19" width="16.42578125" style="56" bestFit="1" customWidth="1"/>
    <col min="20" max="20" width="16.42578125" style="56" customWidth="1"/>
    <col min="21" max="21" width="21.5703125" style="56" customWidth="1"/>
    <col min="22" max="22" width="9.85546875" style="56" customWidth="1"/>
    <col min="23" max="23" width="28" style="56" customWidth="1"/>
    <col min="24" max="24" width="13.140625" style="56" customWidth="1"/>
    <col min="25" max="25" width="9.42578125" style="56" customWidth="1"/>
    <col min="26" max="28" width="7.5703125" style="56" customWidth="1"/>
    <col min="29" max="29" width="6.7109375" style="56" customWidth="1"/>
    <col min="30" max="38" width="18.140625" style="56" customWidth="1"/>
    <col min="39" max="39" width="15" style="59" bestFit="1" customWidth="1"/>
    <col min="40" max="40" width="8.140625" style="59" bestFit="1" customWidth="1"/>
    <col min="41" max="16384" width="8.85546875" style="59"/>
  </cols>
  <sheetData>
    <row r="1" spans="1:32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2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2" ht="9.75" customHeight="1"/>
    <row r="4" spans="1:32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G4" s="46"/>
      <c r="J4" s="46"/>
    </row>
    <row r="5" spans="1:32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G5" s="46"/>
      <c r="J5" s="46"/>
    </row>
    <row r="6" spans="1:32" ht="9.75" customHeight="1"/>
    <row r="7" spans="1:32" ht="9.75" customHeight="1"/>
    <row r="8" spans="1:32" ht="9.75" customHeight="1"/>
    <row r="9" spans="1:32" ht="9.75" customHeight="1">
      <c r="W9" s="364"/>
    </row>
    <row r="10" spans="1:32" ht="9.75" customHeight="1">
      <c r="A10" s="365" t="s">
        <v>14</v>
      </c>
      <c r="B10" s="366"/>
      <c r="C10" s="351"/>
      <c r="D10" s="351"/>
      <c r="E10" s="351"/>
      <c r="F10" s="351"/>
      <c r="G10" s="351"/>
      <c r="H10" s="351"/>
      <c r="I10" s="351"/>
      <c r="O10" s="365" t="s">
        <v>15</v>
      </c>
      <c r="P10" s="366"/>
      <c r="Q10" s="351"/>
      <c r="R10" s="351"/>
      <c r="S10" s="351"/>
      <c r="T10" s="351"/>
      <c r="U10" s="351"/>
      <c r="V10" s="351"/>
      <c r="W10" s="351"/>
    </row>
    <row r="11" spans="1:32" ht="28.5" customHeight="1">
      <c r="A11" s="367" t="s">
        <v>7</v>
      </c>
      <c r="B11" s="368" t="s">
        <v>30</v>
      </c>
      <c r="C11" s="367" t="s">
        <v>0</v>
      </c>
      <c r="D11" s="392" t="s">
        <v>795</v>
      </c>
      <c r="E11" s="392" t="s">
        <v>796</v>
      </c>
      <c r="F11" s="392" t="s">
        <v>797</v>
      </c>
      <c r="G11" s="392" t="s">
        <v>3</v>
      </c>
      <c r="H11" s="392" t="s">
        <v>798</v>
      </c>
      <c r="I11" s="367" t="s">
        <v>4</v>
      </c>
      <c r="J11" s="367" t="s">
        <v>8</v>
      </c>
      <c r="K11" s="367" t="s">
        <v>9</v>
      </c>
      <c r="L11" s="367" t="s">
        <v>10</v>
      </c>
      <c r="M11" s="367" t="s">
        <v>12</v>
      </c>
      <c r="O11" s="367" t="s">
        <v>11</v>
      </c>
      <c r="P11" s="368" t="s">
        <v>30</v>
      </c>
      <c r="Q11" s="367" t="s">
        <v>1</v>
      </c>
      <c r="R11" s="402" t="s">
        <v>795</v>
      </c>
      <c r="S11" s="402" t="s">
        <v>796</v>
      </c>
      <c r="T11" s="402" t="s">
        <v>801</v>
      </c>
      <c r="U11" s="402" t="s">
        <v>802</v>
      </c>
      <c r="V11" s="402" t="s">
        <v>803</v>
      </c>
      <c r="W11" s="402" t="s">
        <v>2</v>
      </c>
      <c r="X11" s="402" t="s">
        <v>804</v>
      </c>
      <c r="Y11" s="367" t="s">
        <v>16</v>
      </c>
      <c r="Z11" s="367" t="s">
        <v>17</v>
      </c>
      <c r="AA11" s="367" t="s">
        <v>18</v>
      </c>
      <c r="AB11" s="367" t="s">
        <v>19</v>
      </c>
      <c r="AC11" s="367" t="s">
        <v>20</v>
      </c>
    </row>
    <row r="12" spans="1:32" ht="9.75" customHeight="1" thickBot="1">
      <c r="A12" s="369" t="s">
        <v>35</v>
      </c>
      <c r="B12" s="369" t="s">
        <v>31</v>
      </c>
      <c r="C12" s="369" t="s">
        <v>26</v>
      </c>
      <c r="D12" s="390"/>
      <c r="E12" s="390"/>
      <c r="F12" s="390"/>
      <c r="G12" s="390"/>
      <c r="H12" s="390" t="s">
        <v>27</v>
      </c>
      <c r="I12" s="369" t="s">
        <v>4</v>
      </c>
      <c r="J12" s="369" t="s">
        <v>38</v>
      </c>
      <c r="K12" s="369" t="s">
        <v>39</v>
      </c>
      <c r="L12" s="369" t="s">
        <v>28</v>
      </c>
      <c r="M12" s="369" t="s">
        <v>29</v>
      </c>
      <c r="O12" s="371" t="s">
        <v>36</v>
      </c>
      <c r="P12" s="371" t="s">
        <v>31</v>
      </c>
      <c r="Q12" s="371" t="s">
        <v>21</v>
      </c>
      <c r="R12" s="397"/>
      <c r="S12" s="397"/>
      <c r="T12" s="397"/>
      <c r="U12" s="397"/>
      <c r="V12" s="397"/>
      <c r="W12" s="397"/>
      <c r="X12" s="397" t="s">
        <v>22</v>
      </c>
      <c r="Y12" s="371" t="s">
        <v>23</v>
      </c>
      <c r="Z12" s="371" t="s">
        <v>24</v>
      </c>
      <c r="AA12" s="371" t="s">
        <v>41</v>
      </c>
      <c r="AB12" s="371" t="s">
        <v>40</v>
      </c>
      <c r="AC12" s="371" t="s">
        <v>25</v>
      </c>
    </row>
    <row r="13" spans="1:32" ht="9.75" customHeight="1">
      <c r="A13" s="393" t="s">
        <v>48</v>
      </c>
      <c r="B13" s="393"/>
      <c r="C13" s="393" t="str">
        <f>'EB1'!B11</f>
        <v>ELC</v>
      </c>
      <c r="D13" s="393" t="s">
        <v>58</v>
      </c>
      <c r="E13" s="393"/>
      <c r="F13" s="393" t="s">
        <v>799</v>
      </c>
      <c r="G13" s="393" t="str">
        <f xml:space="preserve"> _xlfn.CONCAT( D13, " -:- ", E13, " -:- ", F13 )</f>
        <v>Electricity -:-  -:- Electricity Production</v>
      </c>
      <c r="H13" s="393" t="s">
        <v>58</v>
      </c>
      <c r="I13" s="393" t="str">
        <f>$D$2</f>
        <v>PJ</v>
      </c>
      <c r="J13" s="393" t="s">
        <v>697</v>
      </c>
      <c r="K13" s="393" t="s">
        <v>96</v>
      </c>
      <c r="L13" s="393"/>
      <c r="M13" s="393" t="s">
        <v>44</v>
      </c>
      <c r="O13" s="369" t="s">
        <v>55</v>
      </c>
      <c r="P13" s="369"/>
      <c r="Q13" s="369"/>
      <c r="R13" s="399"/>
      <c r="S13" s="399"/>
      <c r="T13" s="399"/>
      <c r="U13" s="399"/>
      <c r="V13" s="399"/>
      <c r="W13" s="399"/>
      <c r="X13" s="399"/>
      <c r="Y13" s="369"/>
      <c r="Z13" s="369"/>
      <c r="AA13" s="369"/>
      <c r="AB13" s="369"/>
      <c r="AC13" s="369"/>
      <c r="AE13" s="91" t="s">
        <v>397</v>
      </c>
    </row>
    <row r="14" spans="1:32" ht="9.75" customHeight="1">
      <c r="A14" s="393" t="s">
        <v>72</v>
      </c>
      <c r="B14" s="393"/>
      <c r="C14" s="393" t="str">
        <f>$A$2&amp;'EB1'!$B$17</f>
        <v>ELCCO2</v>
      </c>
      <c r="D14" s="393" t="s">
        <v>58</v>
      </c>
      <c r="E14" s="393"/>
      <c r="F14" s="393" t="s">
        <v>800</v>
      </c>
      <c r="G14" s="393" t="str">
        <f xml:space="preserve"> _xlfn.CONCAT( D14, " -:- ", E14, " -:- ", F14 )</f>
        <v>Electricity -:-  -:- CO2 emissions</v>
      </c>
      <c r="H14" s="393" t="s">
        <v>487</v>
      </c>
      <c r="I14" s="393" t="str">
        <f>'EB1'!$G$2</f>
        <v>kt</v>
      </c>
      <c r="J14" s="393"/>
      <c r="K14" s="393" t="s">
        <v>437</v>
      </c>
      <c r="L14" s="393"/>
      <c r="M14" s="393"/>
      <c r="O14" s="154" t="s">
        <v>82</v>
      </c>
      <c r="P14" s="154" t="s">
        <v>154</v>
      </c>
      <c r="Q14" s="154" t="str">
        <f>$A$2&amp;$D$5&amp;$G$2&amp;AE14&amp;"00"</f>
        <v>ELCREHYDRRInflex00</v>
      </c>
      <c r="R14" s="154" t="s">
        <v>58</v>
      </c>
      <c r="S14" s="154" t="s">
        <v>137</v>
      </c>
      <c r="T14" s="154" t="s">
        <v>799</v>
      </c>
      <c r="U14" s="154" t="s">
        <v>806</v>
      </c>
      <c r="V14" s="154" t="s">
        <v>137</v>
      </c>
      <c r="W14" s="401" t="str">
        <f xml:space="preserve"> _xlfn.CONCAT( R14, " -:- ", S14, " -:- ", T14, " -:- ", U14, " -:- ", V14 )</f>
        <v>Electricity -:- Hydro -:- Electricity Production -:- Hydro Run of River (Existing) -:- Hydro</v>
      </c>
      <c r="X14" s="372" t="str">
        <f t="shared" ref="X14:X25" si="0">"Power Plants Existing - "&amp;AF14</f>
        <v>Power Plants Existing - Hydro - Inflexible run-of-river</v>
      </c>
      <c r="Y14" s="154" t="str">
        <f t="shared" ref="Y14:Y29" si="1">$D$2</f>
        <v>PJ</v>
      </c>
      <c r="Z14" s="154" t="str">
        <f t="shared" ref="Z14:Z29" si="2">$E$2</f>
        <v>GW</v>
      </c>
      <c r="AA14" s="154" t="s">
        <v>96</v>
      </c>
      <c r="AB14" s="154"/>
      <c r="AC14" s="154"/>
      <c r="AE14" s="84" t="s">
        <v>684</v>
      </c>
      <c r="AF14" s="56" t="s">
        <v>748</v>
      </c>
    </row>
    <row r="15" spans="1:32" ht="9.75" customHeight="1">
      <c r="A15" s="394"/>
      <c r="B15" s="394"/>
      <c r="C15" s="394"/>
      <c r="D15" s="394"/>
      <c r="E15" s="394"/>
      <c r="F15" s="394"/>
      <c r="G15" s="394"/>
      <c r="H15" s="394"/>
      <c r="I15" s="394"/>
      <c r="J15" s="90"/>
      <c r="K15" s="90"/>
      <c r="L15" s="90"/>
      <c r="M15" s="90"/>
      <c r="O15" s="154" t="s">
        <v>82</v>
      </c>
      <c r="P15" s="154" t="s">
        <v>154</v>
      </c>
      <c r="Q15" s="154" t="str">
        <f>$A$2&amp;$D$5&amp;$G$2&amp;AE15&amp;"00"</f>
        <v>ELCREHYDDAM00</v>
      </c>
      <c r="R15" s="154" t="s">
        <v>58</v>
      </c>
      <c r="S15" s="154" t="s">
        <v>137</v>
      </c>
      <c r="T15" s="154" t="s">
        <v>799</v>
      </c>
      <c r="U15" s="154" t="s">
        <v>807</v>
      </c>
      <c r="V15" s="154" t="s">
        <v>137</v>
      </c>
      <c r="W15" s="401" t="str">
        <f t="shared" ref="W15:W25" si="3" xml:space="preserve"> _xlfn.CONCAT( R15, " -:- ", S15, " -:- ", T15, " -:- ", U15, " -:- ", V15 )</f>
        <v>Electricity -:- Hydro -:- Electricity Production -:- Hydro Dam (Existing) -:- Hydro</v>
      </c>
      <c r="X15" s="372" t="str">
        <f t="shared" si="0"/>
        <v>Power Plants Existing - Controlled Hydro</v>
      </c>
      <c r="Y15" s="154" t="str">
        <f t="shared" si="1"/>
        <v>PJ</v>
      </c>
      <c r="Z15" s="154" t="str">
        <f t="shared" si="2"/>
        <v>GW</v>
      </c>
      <c r="AA15" s="154" t="s">
        <v>96</v>
      </c>
      <c r="AB15" s="154"/>
      <c r="AC15" s="154"/>
      <c r="AE15" s="84" t="s">
        <v>685</v>
      </c>
      <c r="AF15" s="56" t="s">
        <v>749</v>
      </c>
    </row>
    <row r="16" spans="1:32" ht="9.75" customHeight="1">
      <c r="O16" s="154" t="s">
        <v>82</v>
      </c>
      <c r="P16" s="154" t="s">
        <v>154</v>
      </c>
      <c r="Q16" s="154" t="str">
        <f>$A$2&amp;$D$5&amp;$G$2&amp;AE16&amp;"00"</f>
        <v>ELCREHYDRRFlex00</v>
      </c>
      <c r="R16" s="154" t="s">
        <v>58</v>
      </c>
      <c r="S16" s="154" t="s">
        <v>137</v>
      </c>
      <c r="T16" s="154" t="s">
        <v>799</v>
      </c>
      <c r="U16" s="154" t="s">
        <v>806</v>
      </c>
      <c r="V16" s="154" t="s">
        <v>137</v>
      </c>
      <c r="W16" s="401" t="str">
        <f t="shared" si="3"/>
        <v>Electricity -:- Hydro -:- Electricity Production -:- Hydro Run of River (Existing) -:- Hydro</v>
      </c>
      <c r="X16" s="372" t="str">
        <f t="shared" si="0"/>
        <v>Power Plants Existing - Hydro - Flexible run- of-river</v>
      </c>
      <c r="Y16" s="154" t="str">
        <f t="shared" si="1"/>
        <v>PJ</v>
      </c>
      <c r="Z16" s="154" t="str">
        <f t="shared" si="2"/>
        <v>GW</v>
      </c>
      <c r="AA16" s="154" t="s">
        <v>96</v>
      </c>
      <c r="AB16" s="154"/>
      <c r="AC16" s="154"/>
      <c r="AE16" s="84" t="s">
        <v>690</v>
      </c>
      <c r="AF16" s="56" t="s">
        <v>750</v>
      </c>
    </row>
    <row r="17" spans="4:38" ht="9.75" customHeight="1">
      <c r="O17" s="154" t="s">
        <v>82</v>
      </c>
      <c r="P17" s="154" t="s">
        <v>154</v>
      </c>
      <c r="Q17" s="154" t="str">
        <f>$A$2&amp;$B$5&amp;$G$2&amp;AE17&amp;"00"</f>
        <v>ELCTENGACHP00</v>
      </c>
      <c r="R17" s="154" t="s">
        <v>58</v>
      </c>
      <c r="S17" s="154" t="s">
        <v>94</v>
      </c>
      <c r="T17" s="154" t="s">
        <v>799</v>
      </c>
      <c r="U17" s="154" t="s">
        <v>808</v>
      </c>
      <c r="V17" s="154" t="s">
        <v>45</v>
      </c>
      <c r="W17" s="401" t="str">
        <f t="shared" si="3"/>
        <v>Electricity -:- Thermal -:- Electricity Production -:- Combined Heat/Power -:- Natural Gas</v>
      </c>
      <c r="X17" s="372" t="str">
        <f t="shared" si="0"/>
        <v>Power Plants Existing - Thermal - Cogen</v>
      </c>
      <c r="Y17" s="154" t="str">
        <f t="shared" si="1"/>
        <v>PJ</v>
      </c>
      <c r="Z17" s="154" t="str">
        <f t="shared" si="2"/>
        <v>GW</v>
      </c>
      <c r="AA17" s="154" t="s">
        <v>96</v>
      </c>
      <c r="AB17" s="154" t="s">
        <v>722</v>
      </c>
      <c r="AC17" s="154"/>
      <c r="AE17" s="84" t="s">
        <v>692</v>
      </c>
      <c r="AF17" s="56" t="s">
        <v>751</v>
      </c>
    </row>
    <row r="18" spans="4:38" ht="9.75" customHeight="1">
      <c r="O18" s="154" t="s">
        <v>82</v>
      </c>
      <c r="P18" s="154" t="s">
        <v>154</v>
      </c>
      <c r="Q18" s="154" t="str">
        <f>$A$2&amp;$B$5&amp;$G$2&amp;AE18&amp;"00"</f>
        <v>ELCTECOA00</v>
      </c>
      <c r="R18" s="154" t="s">
        <v>58</v>
      </c>
      <c r="S18" s="154" t="s">
        <v>94</v>
      </c>
      <c r="T18" s="154" t="s">
        <v>799</v>
      </c>
      <c r="U18" s="154" t="s">
        <v>809</v>
      </c>
      <c r="V18" s="154" t="s">
        <v>122</v>
      </c>
      <c r="W18" s="401" t="str">
        <f t="shared" si="3"/>
        <v>Electricity -:- Thermal -:- Electricity Production -:- Steam Boiler -:- Coal</v>
      </c>
      <c r="X18" s="372" t="str">
        <f t="shared" si="0"/>
        <v>Power Plants Existing - Thermal - Coal</v>
      </c>
      <c r="Y18" s="154" t="str">
        <f t="shared" si="1"/>
        <v>PJ</v>
      </c>
      <c r="Z18" s="154" t="str">
        <f t="shared" si="2"/>
        <v>GW</v>
      </c>
      <c r="AA18" s="154" t="s">
        <v>96</v>
      </c>
      <c r="AB18" s="154"/>
      <c r="AC18" s="154"/>
      <c r="AE18" s="84" t="s">
        <v>42</v>
      </c>
      <c r="AF18" s="56" t="s">
        <v>752</v>
      </c>
    </row>
    <row r="19" spans="4:38" ht="9.75" customHeight="1">
      <c r="O19" s="154" t="s">
        <v>82</v>
      </c>
      <c r="P19" s="154" t="s">
        <v>154</v>
      </c>
      <c r="Q19" s="154" t="str">
        <f>$A$2&amp;$B$5&amp;$G$2&amp;AE19&amp;"00"</f>
        <v>ELCTENGACCGT00</v>
      </c>
      <c r="R19" s="154" t="s">
        <v>58</v>
      </c>
      <c r="S19" s="154" t="s">
        <v>94</v>
      </c>
      <c r="T19" s="154" t="s">
        <v>799</v>
      </c>
      <c r="U19" s="154" t="s">
        <v>810</v>
      </c>
      <c r="V19" s="154" t="s">
        <v>45</v>
      </c>
      <c r="W19" s="401" t="str">
        <f t="shared" si="3"/>
        <v>Electricity -:- Thermal -:- Electricity Production -:- Combined Cycle Gas Turbine (Existing) -:- Natural Gas</v>
      </c>
      <c r="X19" s="372" t="str">
        <f t="shared" si="0"/>
        <v>Power Plants Existing - Thermal - Gas, open cycle</v>
      </c>
      <c r="Y19" s="154" t="str">
        <f t="shared" si="1"/>
        <v>PJ</v>
      </c>
      <c r="Z19" s="154" t="str">
        <f t="shared" si="2"/>
        <v>GW</v>
      </c>
      <c r="AA19" s="154" t="s">
        <v>96</v>
      </c>
      <c r="AB19" s="154"/>
      <c r="AC19" s="154"/>
      <c r="AE19" s="84" t="s">
        <v>753</v>
      </c>
      <c r="AF19" s="56" t="s">
        <v>754</v>
      </c>
    </row>
    <row r="20" spans="4:38" ht="9.75" customHeight="1">
      <c r="O20" s="154" t="s">
        <v>82</v>
      </c>
      <c r="P20" s="154" t="s">
        <v>154</v>
      </c>
      <c r="Q20" s="154" t="str">
        <f>$A$2&amp;$B$5&amp;$G$2&amp;AE20&amp;"00"</f>
        <v>ELCTENGAOCGT00</v>
      </c>
      <c r="R20" s="154" t="s">
        <v>58</v>
      </c>
      <c r="S20" s="154" t="s">
        <v>94</v>
      </c>
      <c r="T20" s="154" t="s">
        <v>799</v>
      </c>
      <c r="U20" s="154" t="s">
        <v>811</v>
      </c>
      <c r="V20" s="154" t="s">
        <v>45</v>
      </c>
      <c r="W20" s="401" t="str">
        <f t="shared" si="3"/>
        <v>Electricity -:- Thermal -:- Electricity Production -:- Open Cycle Gas Turbine (Existing) -:- Natural Gas</v>
      </c>
      <c r="X20" s="372" t="str">
        <f t="shared" si="0"/>
        <v>Power Plants Existing - Thermal - Gas, combined cycle</v>
      </c>
      <c r="Y20" s="154" t="str">
        <f t="shared" si="1"/>
        <v>PJ</v>
      </c>
      <c r="Z20" s="154" t="str">
        <f t="shared" si="2"/>
        <v>GW</v>
      </c>
      <c r="AA20" s="154" t="s">
        <v>96</v>
      </c>
      <c r="AB20" s="154"/>
      <c r="AC20" s="154"/>
      <c r="AE20" s="84" t="s">
        <v>755</v>
      </c>
      <c r="AF20" s="56" t="s">
        <v>756</v>
      </c>
    </row>
    <row r="21" spans="4:38" ht="9.75" customHeight="1">
      <c r="O21" s="154" t="s">
        <v>82</v>
      </c>
      <c r="P21" s="154" t="s">
        <v>154</v>
      </c>
      <c r="Q21" s="154" t="str">
        <f>$A$2&amp;$B$5&amp;$G$2&amp;AE21&amp;"00"</f>
        <v>ELCTEDSL00</v>
      </c>
      <c r="R21" s="154" t="s">
        <v>58</v>
      </c>
      <c r="S21" s="154" t="s">
        <v>94</v>
      </c>
      <c r="T21" s="154" t="s">
        <v>799</v>
      </c>
      <c r="U21" s="154" t="s">
        <v>809</v>
      </c>
      <c r="V21" s="154" t="s">
        <v>133</v>
      </c>
      <c r="W21" s="401" t="str">
        <f t="shared" si="3"/>
        <v>Electricity -:- Thermal -:- Electricity Production -:- Steam Boiler -:- Diesel</v>
      </c>
      <c r="X21" s="372" t="str">
        <f t="shared" si="0"/>
        <v>Power Plants Existing - Thermal - Diesel</v>
      </c>
      <c r="Y21" s="154" t="str">
        <f t="shared" si="1"/>
        <v>PJ</v>
      </c>
      <c r="Z21" s="154" t="str">
        <f t="shared" si="2"/>
        <v>GW</v>
      </c>
      <c r="AA21" s="154" t="s">
        <v>96</v>
      </c>
      <c r="AB21" s="154"/>
      <c r="AC21" s="154"/>
      <c r="AE21" s="84" t="s">
        <v>102</v>
      </c>
      <c r="AF21" s="56" t="s">
        <v>757</v>
      </c>
    </row>
    <row r="22" spans="4:38" ht="9.75" customHeight="1">
      <c r="O22" s="154" t="s">
        <v>82</v>
      </c>
      <c r="P22" s="154" t="s">
        <v>154</v>
      </c>
      <c r="Q22" s="154" t="str">
        <f>$A$2&amp;$D$5&amp;$G$2&amp;AE22&amp;"00"</f>
        <v>ELCREWind00</v>
      </c>
      <c r="R22" s="154" t="s">
        <v>58</v>
      </c>
      <c r="S22" s="154" t="s">
        <v>140</v>
      </c>
      <c r="T22" s="154" t="s">
        <v>799</v>
      </c>
      <c r="U22" s="154" t="s">
        <v>812</v>
      </c>
      <c r="V22" s="154" t="s">
        <v>140</v>
      </c>
      <c r="W22" s="401" t="str">
        <f t="shared" si="3"/>
        <v>Electricity -:- Wind -:- Electricity Production -:- Wind (Existing) -:- Wind</v>
      </c>
      <c r="X22" s="372" t="str">
        <f t="shared" si="0"/>
        <v>Power Plants Existing - Wind</v>
      </c>
      <c r="Y22" s="154" t="str">
        <f t="shared" si="1"/>
        <v>PJ</v>
      </c>
      <c r="Z22" s="154" t="str">
        <f t="shared" si="2"/>
        <v>GW</v>
      </c>
      <c r="AA22" s="154" t="s">
        <v>96</v>
      </c>
      <c r="AB22" s="154"/>
      <c r="AC22" s="154"/>
      <c r="AE22" s="84" t="s">
        <v>140</v>
      </c>
      <c r="AF22" s="56" t="s">
        <v>140</v>
      </c>
    </row>
    <row r="23" spans="4:38" ht="9.75" customHeight="1">
      <c r="O23" s="154" t="s">
        <v>82</v>
      </c>
      <c r="P23" s="154" t="s">
        <v>154</v>
      </c>
      <c r="Q23" s="154" t="str">
        <f>$A$2&amp;$D$5&amp;$G$2&amp;AE23&amp;"00"</f>
        <v>ELCREGEO00</v>
      </c>
      <c r="R23" s="154" t="s">
        <v>58</v>
      </c>
      <c r="S23" s="154" t="s">
        <v>138</v>
      </c>
      <c r="T23" s="154" t="s">
        <v>799</v>
      </c>
      <c r="U23" s="154" t="s">
        <v>813</v>
      </c>
      <c r="V23" s="154" t="s">
        <v>138</v>
      </c>
      <c r="W23" s="401" t="str">
        <f t="shared" si="3"/>
        <v>Electricity -:- Geothermal -:- Electricity Production -:- Geothermal (Existing) -:- Geothermal</v>
      </c>
      <c r="X23" s="372" t="str">
        <f t="shared" si="0"/>
        <v>Power Plants Existing - Geothermal</v>
      </c>
      <c r="Y23" s="154" t="str">
        <f t="shared" si="1"/>
        <v>PJ</v>
      </c>
      <c r="Z23" s="154" t="str">
        <f t="shared" si="2"/>
        <v>GW</v>
      </c>
      <c r="AA23" s="154" t="s">
        <v>96</v>
      </c>
      <c r="AB23" s="83"/>
      <c r="AC23" s="154"/>
      <c r="AE23" s="84" t="s">
        <v>152</v>
      </c>
      <c r="AF23" s="56" t="s">
        <v>138</v>
      </c>
    </row>
    <row r="24" spans="4:38" ht="9.75" customHeight="1">
      <c r="O24" s="154" t="s">
        <v>82</v>
      </c>
      <c r="P24" s="154" t="s">
        <v>154</v>
      </c>
      <c r="Q24" s="154" t="str">
        <f>$A$2&amp;$D$5&amp;$G$2&amp;RIGHT(Sector_Fuels_ELC!D17,3)&amp;"00"</f>
        <v>ELCREBIG00</v>
      </c>
      <c r="R24" s="154" t="s">
        <v>58</v>
      </c>
      <c r="S24" s="154" t="s">
        <v>94</v>
      </c>
      <c r="T24" s="154" t="s">
        <v>799</v>
      </c>
      <c r="U24" s="154" t="s">
        <v>809</v>
      </c>
      <c r="V24" s="154" t="s">
        <v>142</v>
      </c>
      <c r="W24" s="401" t="str">
        <f t="shared" si="3"/>
        <v>Electricity -:- Thermal -:- Electricity Production -:- Steam Boiler -:- Biogas</v>
      </c>
      <c r="X24" s="372" t="str">
        <f t="shared" si="0"/>
        <v>Power Plants Existing - Biogas</v>
      </c>
      <c r="Y24" s="154" t="str">
        <f t="shared" si="1"/>
        <v>PJ</v>
      </c>
      <c r="Z24" s="154" t="str">
        <f t="shared" si="2"/>
        <v>GW</v>
      </c>
      <c r="AA24" s="154" t="s">
        <v>96</v>
      </c>
      <c r="AB24" s="83"/>
      <c r="AC24" s="154"/>
      <c r="AE24" s="84" t="s">
        <v>142</v>
      </c>
      <c r="AF24" s="56" t="s">
        <v>142</v>
      </c>
    </row>
    <row r="25" spans="4:38" ht="9.75" customHeight="1">
      <c r="O25" s="154" t="s">
        <v>82</v>
      </c>
      <c r="P25" s="154" t="s">
        <v>154</v>
      </c>
      <c r="Q25" s="154" t="str">
        <f>$A$2&amp;$D$5&amp;$G$2&amp;AE25&amp;"00"</f>
        <v>ELCRESOL00</v>
      </c>
      <c r="R25" s="154" t="s">
        <v>58</v>
      </c>
      <c r="S25" s="154" t="s">
        <v>139</v>
      </c>
      <c r="T25" s="154" t="s">
        <v>799</v>
      </c>
      <c r="U25" s="154" t="s">
        <v>814</v>
      </c>
      <c r="V25" s="154" t="s">
        <v>139</v>
      </c>
      <c r="W25" s="401" t="str">
        <f t="shared" si="3"/>
        <v>Electricity -:- Solar -:- Electricity Production -:- Solar (Existing) -:- Solar</v>
      </c>
      <c r="X25" s="372" t="str">
        <f t="shared" si="0"/>
        <v>Power Plants Existing - Solar</v>
      </c>
      <c r="Y25" s="154" t="str">
        <f t="shared" si="1"/>
        <v>PJ</v>
      </c>
      <c r="Z25" s="154" t="str">
        <f t="shared" si="2"/>
        <v>GW</v>
      </c>
      <c r="AA25" s="154" t="s">
        <v>96</v>
      </c>
      <c r="AB25" s="83"/>
      <c r="AC25" s="154"/>
      <c r="AE25" s="56" t="s">
        <v>111</v>
      </c>
      <c r="AF25" s="56" t="s">
        <v>139</v>
      </c>
    </row>
    <row r="26" spans="4:38" ht="9.75" customHeight="1">
      <c r="O26" s="154"/>
      <c r="P26" s="154"/>
      <c r="X26" s="372"/>
    </row>
    <row r="27" spans="4:38" ht="9.75" customHeight="1">
      <c r="O27" s="83"/>
      <c r="P27" s="154"/>
      <c r="AB27" s="83"/>
      <c r="AC27" s="83"/>
      <c r="AE27" s="84" t="s">
        <v>203</v>
      </c>
    </row>
    <row r="28" spans="4:38" ht="9.75" customHeight="1">
      <c r="O28" s="83"/>
      <c r="P28" s="154"/>
      <c r="Q28" s="154" t="str">
        <f>$A$2&amp;$C$5&amp;$G$2&amp;RIGHT(Sector_Fuels_ELC!D18,3)&amp;"00"</f>
        <v>ELCCEWOD00</v>
      </c>
      <c r="X28" s="372" t="str">
        <f>"Power Plants Existing - "&amp;AF27</f>
        <v xml:space="preserve">Power Plants Existing - </v>
      </c>
      <c r="Y28" s="154" t="str">
        <f t="shared" si="1"/>
        <v>PJ</v>
      </c>
      <c r="Z28" s="154" t="str">
        <f t="shared" si="2"/>
        <v>GW</v>
      </c>
      <c r="AA28" s="154" t="s">
        <v>96</v>
      </c>
      <c r="AB28" s="83"/>
      <c r="AC28" s="83"/>
      <c r="AE28" s="84" t="s">
        <v>441</v>
      </c>
    </row>
    <row r="29" spans="4:38" ht="9.75" customHeight="1">
      <c r="Q29" s="154" t="str">
        <f>$A$2&amp;$D$5&amp;$G$2&amp;RIGHT(Sector_Fuels_ELC!D19,3)&amp;"00"</f>
        <v>ELCRETID00</v>
      </c>
      <c r="X29" s="372" t="str">
        <f>"Power Plants Existing - "&amp;AF28</f>
        <v xml:space="preserve">Power Plants Existing - </v>
      </c>
      <c r="Y29" s="154" t="str">
        <f t="shared" si="1"/>
        <v>PJ</v>
      </c>
      <c r="Z29" s="154" t="str">
        <f t="shared" si="2"/>
        <v>GW</v>
      </c>
      <c r="AA29" s="154" t="s">
        <v>96</v>
      </c>
    </row>
    <row r="30" spans="4:38" ht="9.75" customHeight="1"/>
    <row r="31" spans="4:38" ht="9.75" customHeight="1"/>
    <row r="32" spans="4:38" ht="9.75" customHeight="1">
      <c r="D32" s="74" t="s">
        <v>13</v>
      </c>
      <c r="E32" s="74"/>
      <c r="F32" s="74"/>
      <c r="G32" s="74"/>
      <c r="H32" s="74"/>
      <c r="K32" s="75"/>
      <c r="L32" s="75"/>
      <c r="M32" s="75"/>
      <c r="N32" s="75"/>
      <c r="AG32" s="59"/>
      <c r="AH32" s="59"/>
      <c r="AI32" s="59"/>
      <c r="AJ32" s="59"/>
      <c r="AK32" s="59"/>
      <c r="AL32" s="59"/>
    </row>
    <row r="33" spans="1:38" ht="9.75" customHeight="1">
      <c r="A33" s="76" t="s">
        <v>1</v>
      </c>
      <c r="B33" s="76" t="s">
        <v>793</v>
      </c>
      <c r="C33" s="76" t="s">
        <v>5</v>
      </c>
      <c r="D33" s="76" t="s">
        <v>6</v>
      </c>
      <c r="E33" s="76" t="s">
        <v>157</v>
      </c>
      <c r="F33" s="76" t="s">
        <v>158</v>
      </c>
      <c r="G33" s="76" t="s">
        <v>159</v>
      </c>
      <c r="H33" s="76" t="s">
        <v>707</v>
      </c>
      <c r="I33" s="76" t="s">
        <v>747</v>
      </c>
      <c r="J33" s="358" t="s">
        <v>758</v>
      </c>
      <c r="K33" s="358" t="s">
        <v>720</v>
      </c>
      <c r="L33" s="358" t="s">
        <v>721</v>
      </c>
      <c r="M33" s="76" t="s">
        <v>783</v>
      </c>
      <c r="N33" s="76" t="s">
        <v>759</v>
      </c>
      <c r="O33" s="76" t="s">
        <v>779</v>
      </c>
      <c r="P33" s="76" t="s">
        <v>782</v>
      </c>
      <c r="Q33" s="76" t="s">
        <v>760</v>
      </c>
      <c r="R33" s="76" t="s">
        <v>784</v>
      </c>
      <c r="S33" s="76" t="s">
        <v>761</v>
      </c>
      <c r="T33" s="76" t="s">
        <v>785</v>
      </c>
      <c r="U33" s="76" t="s">
        <v>788</v>
      </c>
      <c r="V33" s="76" t="s">
        <v>790</v>
      </c>
      <c r="W33" s="76" t="s">
        <v>744</v>
      </c>
      <c r="X33" s="76" t="s">
        <v>56</v>
      </c>
      <c r="Y33" s="76" t="s">
        <v>83</v>
      </c>
      <c r="Z33" s="76" t="s">
        <v>54</v>
      </c>
      <c r="AA33" s="76" t="s">
        <v>113</v>
      </c>
      <c r="AB33" s="76" t="s">
        <v>97</v>
      </c>
      <c r="AC33" s="348" t="s">
        <v>787</v>
      </c>
      <c r="AD33" s="348" t="s">
        <v>745</v>
      </c>
      <c r="AE33" s="348" t="s">
        <v>693</v>
      </c>
      <c r="AF33" s="348" t="s">
        <v>766</v>
      </c>
      <c r="AG33" s="59"/>
      <c r="AH33" s="59"/>
      <c r="AI33" s="59"/>
      <c r="AJ33" s="59"/>
      <c r="AK33" s="59"/>
      <c r="AL33" s="59"/>
    </row>
    <row r="34" spans="1:38" ht="9.75" customHeight="1">
      <c r="A34" s="373" t="s">
        <v>37</v>
      </c>
      <c r="B34" s="376"/>
      <c r="C34" s="373" t="s">
        <v>32</v>
      </c>
      <c r="D34" s="373" t="s">
        <v>33</v>
      </c>
      <c r="E34" s="373" t="s">
        <v>116</v>
      </c>
      <c r="F34" s="373" t="s">
        <v>116</v>
      </c>
      <c r="G34" s="373" t="s">
        <v>116</v>
      </c>
      <c r="H34" s="373" t="s">
        <v>116</v>
      </c>
      <c r="I34" s="373" t="s">
        <v>116</v>
      </c>
      <c r="J34" s="374" t="s">
        <v>34</v>
      </c>
      <c r="K34" s="374" t="s">
        <v>34</v>
      </c>
      <c r="L34" s="375" t="s">
        <v>99</v>
      </c>
      <c r="M34" s="373" t="s">
        <v>635</v>
      </c>
      <c r="N34" s="373" t="s">
        <v>635</v>
      </c>
      <c r="O34" s="373" t="s">
        <v>635</v>
      </c>
      <c r="P34" s="373" t="s">
        <v>59</v>
      </c>
      <c r="Q34" s="373" t="s">
        <v>59</v>
      </c>
      <c r="R34" s="376" t="s">
        <v>66</v>
      </c>
      <c r="S34" s="376" t="s">
        <v>66</v>
      </c>
      <c r="T34" s="376" t="s">
        <v>762</v>
      </c>
      <c r="U34" s="376" t="s">
        <v>762</v>
      </c>
      <c r="W34" s="373" t="s">
        <v>763</v>
      </c>
      <c r="X34" s="373" t="s">
        <v>65</v>
      </c>
      <c r="Y34" s="373" t="s">
        <v>85</v>
      </c>
      <c r="Z34" s="373" t="s">
        <v>112</v>
      </c>
      <c r="AA34" s="373" t="s">
        <v>86</v>
      </c>
      <c r="AB34" s="373" t="s">
        <v>98</v>
      </c>
      <c r="AC34" s="377"/>
      <c r="AD34" s="377"/>
      <c r="AG34" s="59"/>
      <c r="AH34" s="59"/>
      <c r="AI34" s="59"/>
      <c r="AJ34" s="59"/>
      <c r="AK34" s="59"/>
      <c r="AL34" s="59"/>
    </row>
    <row r="35" spans="1:38" ht="9.75" customHeight="1">
      <c r="A35" s="373" t="s">
        <v>60</v>
      </c>
      <c r="B35" s="377"/>
      <c r="C35" s="373"/>
      <c r="D35" s="373"/>
      <c r="E35" s="373" t="str">
        <f t="shared" ref="E35:I35" si="4">$E$2</f>
        <v>GW</v>
      </c>
      <c r="F35" s="373" t="str">
        <f t="shared" si="4"/>
        <v>GW</v>
      </c>
      <c r="G35" s="373" t="str">
        <f t="shared" si="4"/>
        <v>GW</v>
      </c>
      <c r="H35" s="373" t="str">
        <f t="shared" si="4"/>
        <v>GW</v>
      </c>
      <c r="I35" s="373" t="str">
        <f t="shared" si="4"/>
        <v>GW</v>
      </c>
      <c r="J35" s="374" t="str">
        <f>$E$2</f>
        <v>GW</v>
      </c>
      <c r="K35" s="378"/>
      <c r="L35" s="378" t="str">
        <f>$E$2</f>
        <v>GW</v>
      </c>
      <c r="M35" s="377" t="s">
        <v>764</v>
      </c>
      <c r="N35" s="377" t="s">
        <v>764</v>
      </c>
      <c r="O35" s="377" t="s">
        <v>764</v>
      </c>
      <c r="P35" s="377" t="s">
        <v>764</v>
      </c>
      <c r="Q35" s="377" t="s">
        <v>764</v>
      </c>
      <c r="R35" s="377" t="s">
        <v>764</v>
      </c>
      <c r="S35" s="377" t="s">
        <v>764</v>
      </c>
      <c r="T35" s="377" t="s">
        <v>52</v>
      </c>
      <c r="U35" s="377" t="s">
        <v>52</v>
      </c>
      <c r="W35" s="377" t="s">
        <v>765</v>
      </c>
      <c r="X35" s="373" t="str">
        <f>$F$2&amp;"/"&amp;$E$2</f>
        <v>Milion NZD (2015)/GW</v>
      </c>
      <c r="Y35" s="373" t="str">
        <f>$F$2&amp;"/"&amp;$D$2</f>
        <v>Milion NZD (2015)/PJ</v>
      </c>
      <c r="Z35" s="373" t="s">
        <v>61</v>
      </c>
      <c r="AA35" s="373" t="str">
        <f>$D$2&amp;"/"&amp;$E$2</f>
        <v>PJ/GW</v>
      </c>
      <c r="AB35" s="373"/>
      <c r="AC35" s="377"/>
      <c r="AD35" s="377"/>
      <c r="AG35" s="59"/>
      <c r="AH35" s="59"/>
      <c r="AI35" s="59"/>
      <c r="AJ35" s="59"/>
      <c r="AK35" s="59"/>
      <c r="AL35" s="59"/>
    </row>
    <row r="36" spans="1:38" ht="9.75" customHeight="1">
      <c r="A36" s="154" t="str">
        <f>+Q14</f>
        <v>ELCREHYDRRInflex00</v>
      </c>
      <c r="B36" s="93"/>
      <c r="C36" s="83" t="s">
        <v>686</v>
      </c>
      <c r="D36" s="83" t="str">
        <f>$C$13</f>
        <v>ELC</v>
      </c>
      <c r="E36" s="92">
        <v>0.2064</v>
      </c>
      <c r="F36" s="92"/>
      <c r="G36" s="92"/>
      <c r="H36" s="92"/>
      <c r="I36" s="92"/>
      <c r="J36" s="379">
        <f>+SUM(E36:I36)</f>
        <v>0.2064</v>
      </c>
      <c r="K36" s="380">
        <v>0</v>
      </c>
      <c r="L36" s="93"/>
      <c r="M36" s="93"/>
      <c r="N36" s="93"/>
      <c r="O36" s="93"/>
      <c r="P36" s="86">
        <v>1</v>
      </c>
      <c r="Q36" s="86">
        <f>+P36</f>
        <v>1</v>
      </c>
      <c r="R36" s="86"/>
      <c r="S36" s="86"/>
      <c r="T36" s="93">
        <v>2.4176561979802464</v>
      </c>
      <c r="U36" s="387">
        <v>3.3828469521482258</v>
      </c>
      <c r="W36" s="93">
        <v>1</v>
      </c>
      <c r="X36" s="86">
        <v>6.54</v>
      </c>
      <c r="Y36" s="86">
        <f>0.88/3.6</f>
        <v>0.24444444444444444</v>
      </c>
      <c r="Z36" s="84">
        <v>100</v>
      </c>
      <c r="AA36" s="84">
        <v>31.536000000000001</v>
      </c>
      <c r="AB36" s="86">
        <v>0.72199999999999998</v>
      </c>
      <c r="AC36" s="349">
        <v>0</v>
      </c>
      <c r="AD36" s="349">
        <v>0</v>
      </c>
      <c r="AE36" s="87">
        <v>5</v>
      </c>
      <c r="AH36" s="59" t="s">
        <v>137</v>
      </c>
      <c r="AI36" s="59"/>
      <c r="AJ36" s="59"/>
      <c r="AK36" s="59"/>
      <c r="AL36" s="59"/>
    </row>
    <row r="37" spans="1:38" ht="9.75" customHeight="1">
      <c r="A37" s="154" t="str">
        <f>+Q15</f>
        <v>ELCREHYDDAM00</v>
      </c>
      <c r="B37" s="93"/>
      <c r="C37" s="83" t="s">
        <v>686</v>
      </c>
      <c r="D37" s="83" t="str">
        <f t="shared" ref="D37:D50" si="5">$C$13</f>
        <v>ELC</v>
      </c>
      <c r="E37" s="92">
        <v>1.5469000000000002</v>
      </c>
      <c r="F37" s="92"/>
      <c r="G37" s="92"/>
      <c r="H37" s="92"/>
      <c r="I37" s="92"/>
      <c r="J37" s="379">
        <f t="shared" ref="J37:J54" si="6">+SUM(E37:I37)</f>
        <v>1.5469000000000002</v>
      </c>
      <c r="K37" s="380">
        <v>0</v>
      </c>
      <c r="L37" s="93"/>
      <c r="M37" s="93"/>
      <c r="N37" s="93"/>
      <c r="O37" s="93"/>
      <c r="P37" s="86">
        <v>1</v>
      </c>
      <c r="Q37" s="86">
        <f>+P37</f>
        <v>1</v>
      </c>
      <c r="R37" s="86"/>
      <c r="S37" s="86"/>
      <c r="T37" s="93">
        <v>20.08076795028299</v>
      </c>
      <c r="U37" s="387">
        <v>23.72645894665375</v>
      </c>
      <c r="W37" s="93">
        <v>1</v>
      </c>
      <c r="X37" s="86">
        <v>6.54</v>
      </c>
      <c r="Y37" s="86">
        <f>Y36</f>
        <v>0.24444444444444444</v>
      </c>
      <c r="Z37" s="84">
        <v>100</v>
      </c>
      <c r="AA37" s="84">
        <v>31.536000000000001</v>
      </c>
      <c r="AB37" s="86">
        <v>0.98</v>
      </c>
      <c r="AC37" s="349">
        <v>0</v>
      </c>
      <c r="AD37" s="349">
        <v>0</v>
      </c>
      <c r="AE37" s="87">
        <v>5</v>
      </c>
      <c r="AI37" s="59"/>
      <c r="AJ37" s="59"/>
      <c r="AK37" s="59"/>
      <c r="AL37" s="59"/>
    </row>
    <row r="38" spans="1:38" ht="9.75" customHeight="1">
      <c r="A38" s="154" t="str">
        <f>+Q16</f>
        <v>ELCREHYDRRFlex00</v>
      </c>
      <c r="B38" s="93"/>
      <c r="C38" s="83" t="s">
        <v>686</v>
      </c>
      <c r="D38" s="83" t="str">
        <f t="shared" si="5"/>
        <v>ELC</v>
      </c>
      <c r="E38" s="92">
        <v>0.2064</v>
      </c>
      <c r="F38" s="92"/>
      <c r="G38" s="92"/>
      <c r="H38" s="92"/>
      <c r="I38" s="92"/>
      <c r="J38" s="379">
        <f t="shared" si="6"/>
        <v>0.2064</v>
      </c>
      <c r="K38" s="380">
        <v>0</v>
      </c>
      <c r="L38" s="93"/>
      <c r="M38" s="93"/>
      <c r="N38" s="93"/>
      <c r="O38" s="93"/>
      <c r="P38" s="86">
        <v>1</v>
      </c>
      <c r="Q38" s="86">
        <f>+P38</f>
        <v>1</v>
      </c>
      <c r="R38" s="86"/>
      <c r="S38" s="86"/>
      <c r="T38" s="93">
        <v>0.80157585173676626</v>
      </c>
      <c r="U38" s="93">
        <v>1.7021922787591701</v>
      </c>
      <c r="W38" s="93">
        <v>1</v>
      </c>
      <c r="X38" s="86">
        <v>6.54</v>
      </c>
      <c r="Y38" s="86">
        <f>+Y37</f>
        <v>0.24444444444444444</v>
      </c>
      <c r="Z38" s="84">
        <v>100</v>
      </c>
      <c r="AA38" s="84">
        <v>31.536000000000001</v>
      </c>
      <c r="AB38" s="86">
        <v>0.83</v>
      </c>
      <c r="AC38" s="349">
        <v>0</v>
      </c>
      <c r="AD38" s="349">
        <v>0</v>
      </c>
      <c r="AE38" s="87">
        <v>5</v>
      </c>
      <c r="AI38" s="59"/>
      <c r="AJ38" s="59"/>
      <c r="AK38" s="59"/>
      <c r="AL38" s="59"/>
    </row>
    <row r="39" spans="1:38" ht="9.75" customHeight="1">
      <c r="A39" s="154" t="str">
        <f>+Q17</f>
        <v>ELCTENGACHP00</v>
      </c>
      <c r="B39" s="93"/>
      <c r="C39" s="83" t="s">
        <v>680</v>
      </c>
      <c r="D39" s="83" t="str">
        <f t="shared" si="5"/>
        <v>ELC</v>
      </c>
      <c r="E39" s="92">
        <v>6.4000000000000001E-2</v>
      </c>
      <c r="F39" s="92">
        <v>0.29060000000000002</v>
      </c>
      <c r="G39" s="92"/>
      <c r="H39" s="92"/>
      <c r="I39" s="92"/>
      <c r="J39" s="379">
        <f t="shared" si="6"/>
        <v>0.35460000000000003</v>
      </c>
      <c r="K39" s="380">
        <v>0</v>
      </c>
      <c r="L39" s="93"/>
      <c r="M39" s="93">
        <v>0.76050763119673825</v>
      </c>
      <c r="N39" s="93">
        <v>0.74660574225524146</v>
      </c>
      <c r="O39" s="93">
        <v>5</v>
      </c>
      <c r="P39" s="86">
        <v>0.30056867017465244</v>
      </c>
      <c r="Q39" s="86">
        <v>0.30056867017465244</v>
      </c>
      <c r="R39" s="381">
        <f>T39/F39/AA39</f>
        <v>0.66551280560557535</v>
      </c>
      <c r="S39" s="381">
        <f>R39</f>
        <v>0.66551280560557535</v>
      </c>
      <c r="T39" s="93">
        <v>6.0990000000000002</v>
      </c>
      <c r="V39" s="387">
        <v>5.0443999999999996</v>
      </c>
      <c r="W39" s="93"/>
      <c r="X39" s="86">
        <v>36</v>
      </c>
      <c r="Y39" s="86">
        <f>4/3.6</f>
        <v>1.1111111111111112</v>
      </c>
      <c r="Z39" s="382">
        <v>25</v>
      </c>
      <c r="AA39" s="84">
        <v>31.536000000000001</v>
      </c>
      <c r="AB39" s="86">
        <v>0.66</v>
      </c>
      <c r="AC39" s="349">
        <v>0</v>
      </c>
      <c r="AD39" s="349">
        <v>0</v>
      </c>
      <c r="AE39" s="87">
        <v>5</v>
      </c>
      <c r="AI39" s="59"/>
      <c r="AJ39" s="59"/>
      <c r="AK39" s="59"/>
      <c r="AL39" s="59"/>
    </row>
    <row r="40" spans="1:38" ht="9.75" customHeight="1">
      <c r="A40" s="154"/>
      <c r="B40" s="93"/>
      <c r="C40" s="83" t="s">
        <v>683</v>
      </c>
      <c r="D40" s="83"/>
      <c r="E40" s="92"/>
      <c r="F40" s="92"/>
      <c r="G40" s="92"/>
      <c r="H40" s="92"/>
      <c r="I40" s="92"/>
      <c r="J40" s="379"/>
      <c r="K40" s="380"/>
      <c r="L40" s="93"/>
      <c r="M40" s="93">
        <v>0.23949236880326175</v>
      </c>
      <c r="N40" s="93">
        <v>0.25339425774475854</v>
      </c>
      <c r="O40" s="93">
        <v>5</v>
      </c>
      <c r="P40" s="86"/>
      <c r="Q40" s="86"/>
      <c r="R40" s="86"/>
      <c r="S40" s="86"/>
      <c r="T40" s="93"/>
      <c r="U40" s="93"/>
      <c r="W40" s="93"/>
      <c r="X40" s="86"/>
      <c r="Y40" s="86"/>
      <c r="Z40" s="382"/>
      <c r="AA40" s="84"/>
      <c r="AB40" s="86"/>
      <c r="AC40" s="349"/>
      <c r="AD40" s="349"/>
      <c r="AE40" s="87"/>
      <c r="AH40" s="59" t="s">
        <v>138</v>
      </c>
      <c r="AI40" s="59"/>
      <c r="AJ40" s="59"/>
      <c r="AK40" s="59"/>
      <c r="AL40" s="59"/>
    </row>
    <row r="41" spans="1:38" ht="9.75" customHeight="1">
      <c r="A41" s="154" t="s">
        <v>780</v>
      </c>
      <c r="B41" s="93"/>
      <c r="C41" s="83" t="s">
        <v>687</v>
      </c>
      <c r="D41" s="83"/>
      <c r="E41" s="92"/>
      <c r="F41" s="92"/>
      <c r="G41" s="92"/>
      <c r="H41" s="92"/>
      <c r="I41" s="92"/>
      <c r="J41" s="379"/>
      <c r="K41" s="380"/>
      <c r="L41" s="93"/>
      <c r="M41" s="93">
        <v>0</v>
      </c>
      <c r="N41" s="93">
        <v>0</v>
      </c>
      <c r="O41" s="93">
        <v>5</v>
      </c>
      <c r="P41" s="86"/>
      <c r="Q41" s="86"/>
      <c r="R41" s="86"/>
      <c r="S41" s="86"/>
      <c r="T41" s="93"/>
      <c r="U41" s="93"/>
      <c r="W41" s="93"/>
      <c r="X41" s="86"/>
      <c r="Y41" s="86"/>
      <c r="Z41" s="382"/>
      <c r="AA41" s="84"/>
      <c r="AB41" s="86"/>
      <c r="AC41" s="349"/>
      <c r="AD41" s="349"/>
      <c r="AE41" s="87"/>
      <c r="AH41" s="59" t="s">
        <v>142</v>
      </c>
      <c r="AI41" s="59"/>
      <c r="AJ41" s="59"/>
      <c r="AK41" s="59"/>
      <c r="AL41" s="59"/>
    </row>
    <row r="42" spans="1:38" ht="9.75" customHeight="1">
      <c r="A42" s="154" t="s">
        <v>780</v>
      </c>
      <c r="B42" s="93"/>
      <c r="C42" s="83" t="s">
        <v>682</v>
      </c>
      <c r="D42" s="83"/>
      <c r="E42" s="92"/>
      <c r="F42" s="92"/>
      <c r="G42" s="92"/>
      <c r="H42" s="92"/>
      <c r="I42" s="92"/>
      <c r="J42" s="379"/>
      <c r="K42" s="380"/>
      <c r="L42" s="93"/>
      <c r="M42" s="93">
        <v>0</v>
      </c>
      <c r="N42" s="93">
        <v>0</v>
      </c>
      <c r="O42" s="93">
        <v>5</v>
      </c>
      <c r="P42" s="86"/>
      <c r="Q42" s="86"/>
      <c r="R42" s="86"/>
      <c r="S42" s="86"/>
      <c r="T42" s="93"/>
      <c r="U42" s="93"/>
      <c r="W42" s="93"/>
      <c r="X42" s="86"/>
      <c r="Y42" s="86"/>
      <c r="Z42" s="382"/>
      <c r="AA42" s="84"/>
      <c r="AB42" s="86"/>
      <c r="AC42" s="349"/>
      <c r="AD42" s="349"/>
      <c r="AE42" s="87"/>
      <c r="AH42" s="59"/>
      <c r="AI42" s="59"/>
      <c r="AJ42" s="59"/>
      <c r="AK42" s="59"/>
      <c r="AL42" s="59"/>
    </row>
    <row r="43" spans="1:38" ht="9.75" customHeight="1">
      <c r="A43" s="154" t="str">
        <f>+Q18</f>
        <v>ELCTECOA00</v>
      </c>
      <c r="B43" s="93"/>
      <c r="C43" s="83" t="s">
        <v>677</v>
      </c>
      <c r="D43" s="83" t="str">
        <f t="shared" si="5"/>
        <v>ELC</v>
      </c>
      <c r="E43" s="92"/>
      <c r="F43" s="92">
        <v>0.5</v>
      </c>
      <c r="G43" s="92"/>
      <c r="H43" s="92"/>
      <c r="I43" s="92"/>
      <c r="J43" s="379">
        <f t="shared" si="6"/>
        <v>0.5</v>
      </c>
      <c r="K43" s="380">
        <v>0</v>
      </c>
      <c r="L43" s="93"/>
      <c r="M43" s="93"/>
      <c r="N43" s="93"/>
      <c r="O43" s="93"/>
      <c r="P43" s="86">
        <v>0.33841283450159365</v>
      </c>
      <c r="Q43" s="86">
        <v>0.33168365988269682</v>
      </c>
      <c r="R43" s="381">
        <v>0.42808219178082191</v>
      </c>
      <c r="S43" s="381">
        <v>0.37100456621004563</v>
      </c>
      <c r="T43" s="93">
        <v>6.75</v>
      </c>
      <c r="U43" s="387"/>
      <c r="W43" s="93">
        <v>1</v>
      </c>
      <c r="X43" s="86">
        <v>72</v>
      </c>
      <c r="Y43" s="86">
        <f>10/3.6</f>
        <v>2.7777777777777777</v>
      </c>
      <c r="Z43" s="382">
        <v>30</v>
      </c>
      <c r="AA43" s="84">
        <v>31.536000000000001</v>
      </c>
      <c r="AB43" s="86">
        <v>0.97</v>
      </c>
      <c r="AC43" s="349">
        <v>0</v>
      </c>
      <c r="AD43" s="349">
        <v>0</v>
      </c>
      <c r="AE43" s="87">
        <v>5</v>
      </c>
      <c r="AH43" s="59" t="s">
        <v>143</v>
      </c>
      <c r="AI43" s="59"/>
      <c r="AJ43" s="59"/>
      <c r="AK43" s="59"/>
      <c r="AL43" s="59"/>
    </row>
    <row r="44" spans="1:38" ht="9.75" customHeight="1">
      <c r="A44" s="154" t="s">
        <v>780</v>
      </c>
      <c r="B44" s="93" t="s">
        <v>792</v>
      </c>
      <c r="C44" s="83" t="s">
        <v>677</v>
      </c>
      <c r="D44" s="83" t="str">
        <f t="shared" si="5"/>
        <v>ELC</v>
      </c>
      <c r="E44" s="92"/>
      <c r="F44" s="92"/>
      <c r="G44" s="92"/>
      <c r="H44" s="92"/>
      <c r="I44" s="92"/>
      <c r="J44" s="379"/>
      <c r="K44" s="380"/>
      <c r="L44" s="93"/>
      <c r="M44" s="93"/>
      <c r="N44" s="93"/>
      <c r="O44" s="93"/>
      <c r="P44" s="86"/>
      <c r="Q44" s="86"/>
      <c r="R44" s="381"/>
      <c r="S44" s="381"/>
      <c r="T44" s="93"/>
      <c r="U44" s="387">
        <v>5.3250000000000002</v>
      </c>
      <c r="W44" s="93"/>
      <c r="X44" s="86"/>
      <c r="Y44" s="86"/>
      <c r="Z44" s="382"/>
      <c r="AA44" s="84"/>
      <c r="AB44" s="86"/>
      <c r="AC44" s="349"/>
      <c r="AD44" s="349"/>
      <c r="AE44" s="87"/>
      <c r="AH44" s="59" t="s">
        <v>143</v>
      </c>
      <c r="AI44" s="59"/>
      <c r="AJ44" s="59"/>
      <c r="AK44" s="59"/>
      <c r="AL44" s="59"/>
    </row>
    <row r="45" spans="1:38" ht="9.75" customHeight="1">
      <c r="A45" s="154" t="str">
        <f>+Q19</f>
        <v>ELCTENGACCGT00</v>
      </c>
      <c r="B45" s="93"/>
      <c r="C45" s="83" t="s">
        <v>680</v>
      </c>
      <c r="D45" s="83" t="s">
        <v>44</v>
      </c>
      <c r="E45" s="92"/>
      <c r="F45" s="92">
        <v>0.38500000000000001</v>
      </c>
      <c r="G45" s="92">
        <v>0.40300000000000002</v>
      </c>
      <c r="H45" s="92"/>
      <c r="I45" s="92"/>
      <c r="J45" s="379">
        <f t="shared" si="6"/>
        <v>0.78800000000000003</v>
      </c>
      <c r="K45" s="380">
        <v>0</v>
      </c>
      <c r="L45" s="93"/>
      <c r="M45" s="93"/>
      <c r="N45" s="93"/>
      <c r="O45" s="93"/>
      <c r="P45" s="86">
        <v>0.51</v>
      </c>
      <c r="Q45" s="86">
        <v>0.51</v>
      </c>
      <c r="R45" s="381">
        <v>0.64804329499838653</v>
      </c>
      <c r="S45" s="381">
        <f>+R45</f>
        <v>0.64804329499838653</v>
      </c>
      <c r="T45" s="93">
        <v>16.104114360642466</v>
      </c>
      <c r="U45" s="93"/>
      <c r="W45" s="93"/>
      <c r="X45" s="86">
        <v>36</v>
      </c>
      <c r="Y45" s="86">
        <f>4/3.6</f>
        <v>1.1111111111111112</v>
      </c>
      <c r="Z45" s="382">
        <v>25</v>
      </c>
      <c r="AA45" s="84">
        <v>31.536000000000001</v>
      </c>
      <c r="AB45" s="86">
        <v>0.97</v>
      </c>
      <c r="AC45" s="349">
        <v>0</v>
      </c>
      <c r="AD45" s="349">
        <v>0</v>
      </c>
      <c r="AE45" s="87">
        <v>5</v>
      </c>
      <c r="AH45" s="59" t="s">
        <v>140</v>
      </c>
      <c r="AI45" s="59"/>
      <c r="AJ45" s="59"/>
      <c r="AK45" s="59"/>
      <c r="AL45" s="59"/>
    </row>
    <row r="46" spans="1:38" ht="9.75" customHeight="1">
      <c r="A46" s="154" t="s">
        <v>780</v>
      </c>
      <c r="B46" s="93" t="s">
        <v>792</v>
      </c>
      <c r="C46" s="83" t="s">
        <v>680</v>
      </c>
      <c r="D46" s="83" t="s">
        <v>44</v>
      </c>
      <c r="E46" s="92"/>
      <c r="F46" s="92"/>
      <c r="G46" s="92"/>
      <c r="H46" s="92"/>
      <c r="I46" s="92"/>
      <c r="J46" s="379"/>
      <c r="K46" s="380"/>
      <c r="L46" s="93"/>
      <c r="M46" s="93"/>
      <c r="N46" s="93"/>
      <c r="O46" s="93"/>
      <c r="P46" s="86"/>
      <c r="Q46" s="86"/>
      <c r="R46" s="381"/>
      <c r="S46" s="381"/>
      <c r="T46" s="93"/>
      <c r="U46" s="93">
        <v>13.611618268643532</v>
      </c>
      <c r="W46" s="93"/>
      <c r="X46" s="86"/>
      <c r="Y46" s="86"/>
      <c r="Z46" s="382"/>
      <c r="AA46" s="84"/>
      <c r="AB46" s="86"/>
      <c r="AC46" s="349"/>
      <c r="AD46" s="349"/>
      <c r="AE46" s="87"/>
      <c r="AH46" s="59" t="s">
        <v>140</v>
      </c>
      <c r="AI46" s="59"/>
      <c r="AJ46" s="59"/>
      <c r="AK46" s="59"/>
      <c r="AL46" s="59"/>
    </row>
    <row r="47" spans="1:38" ht="9.75" customHeight="1">
      <c r="A47" s="154" t="str">
        <f>+Q20</f>
        <v>ELCTENGAOCGT00</v>
      </c>
      <c r="B47" s="93"/>
      <c r="C47" s="83" t="s">
        <v>680</v>
      </c>
      <c r="D47" s="83" t="s">
        <v>44</v>
      </c>
      <c r="E47" s="92"/>
      <c r="F47" s="92"/>
      <c r="G47" s="92">
        <v>5.0999999999999997E-2</v>
      </c>
      <c r="H47" s="92">
        <v>0.30199999999999999</v>
      </c>
      <c r="I47" s="92"/>
      <c r="J47" s="379">
        <f t="shared" si="6"/>
        <v>0.35299999999999998</v>
      </c>
      <c r="K47" s="380">
        <v>0</v>
      </c>
      <c r="L47" s="93"/>
      <c r="M47" s="93"/>
      <c r="N47" s="93"/>
      <c r="O47" s="93"/>
      <c r="P47" s="86">
        <v>0.40092071138138585</v>
      </c>
      <c r="Q47" s="86">
        <v>0.40092071138138585</v>
      </c>
      <c r="R47" s="381">
        <v>0.34098227767191669</v>
      </c>
      <c r="S47" s="381">
        <f>+R47</f>
        <v>0.34098227767191669</v>
      </c>
      <c r="T47" s="93">
        <v>3.7958856393575324</v>
      </c>
      <c r="U47" s="93"/>
      <c r="W47" s="93">
        <v>1</v>
      </c>
      <c r="X47" s="86">
        <f>+X45*0.7</f>
        <v>25.2</v>
      </c>
      <c r="Y47" s="86">
        <f>4/3.6</f>
        <v>1.1111111111111112</v>
      </c>
      <c r="Z47" s="382">
        <v>25</v>
      </c>
      <c r="AA47" s="84">
        <v>31.536000000000001</v>
      </c>
      <c r="AB47" s="86">
        <v>0.97</v>
      </c>
      <c r="AC47" s="349">
        <v>0</v>
      </c>
      <c r="AD47" s="349">
        <v>0</v>
      </c>
      <c r="AE47" s="87">
        <v>5</v>
      </c>
      <c r="AH47" s="59"/>
      <c r="AI47" s="59"/>
      <c r="AJ47" s="59"/>
      <c r="AK47" s="59"/>
      <c r="AL47" s="59"/>
    </row>
    <row r="48" spans="1:38" ht="9.75" customHeight="1">
      <c r="A48" s="154" t="s">
        <v>780</v>
      </c>
      <c r="B48" s="93" t="s">
        <v>792</v>
      </c>
      <c r="C48" s="83" t="s">
        <v>680</v>
      </c>
      <c r="D48" s="83" t="s">
        <v>44</v>
      </c>
      <c r="E48" s="92"/>
      <c r="F48" s="92"/>
      <c r="G48" s="92"/>
      <c r="H48" s="92"/>
      <c r="I48" s="92"/>
      <c r="J48" s="379"/>
      <c r="K48" s="380"/>
      <c r="L48" s="93"/>
      <c r="M48" s="93"/>
      <c r="N48" s="93"/>
      <c r="O48" s="93"/>
      <c r="P48" s="86"/>
      <c r="Q48" s="86"/>
      <c r="R48" s="381"/>
      <c r="S48" s="381"/>
      <c r="T48" s="93"/>
      <c r="U48" s="93">
        <v>3.208381731356468</v>
      </c>
      <c r="W48" s="93"/>
      <c r="X48" s="86"/>
      <c r="Y48" s="86"/>
      <c r="Z48" s="382"/>
      <c r="AA48" s="84"/>
      <c r="AB48" s="86"/>
      <c r="AC48" s="349"/>
      <c r="AD48" s="349"/>
      <c r="AE48" s="87"/>
      <c r="AH48" s="59"/>
      <c r="AI48" s="59"/>
      <c r="AJ48" s="59"/>
      <c r="AK48" s="59"/>
      <c r="AL48" s="59"/>
    </row>
    <row r="49" spans="1:40" ht="9.75" customHeight="1">
      <c r="A49" s="154" t="str">
        <f>+Q21</f>
        <v>ELCTEDSL00</v>
      </c>
      <c r="B49" s="93"/>
      <c r="C49" s="83" t="s">
        <v>679</v>
      </c>
      <c r="D49" s="83" t="str">
        <f t="shared" si="5"/>
        <v>ELC</v>
      </c>
      <c r="E49" s="92"/>
      <c r="F49" s="92"/>
      <c r="G49" s="92">
        <v>0.155</v>
      </c>
      <c r="H49" s="92"/>
      <c r="I49" s="92"/>
      <c r="J49" s="379">
        <f t="shared" si="6"/>
        <v>0.155</v>
      </c>
      <c r="K49" s="380">
        <v>0</v>
      </c>
      <c r="L49" s="93"/>
      <c r="M49" s="93"/>
      <c r="N49" s="93"/>
      <c r="O49" s="93"/>
      <c r="P49" s="86">
        <v>0.33801270420740342</v>
      </c>
      <c r="Q49" s="86">
        <v>0.33426897331911398</v>
      </c>
      <c r="R49" s="381">
        <v>0.05</v>
      </c>
      <c r="S49" s="381">
        <v>0.05</v>
      </c>
      <c r="T49" s="93">
        <v>5.5799999999999999E-3</v>
      </c>
      <c r="U49" s="387">
        <v>4.2000000000000003E-2</v>
      </c>
      <c r="W49" s="93"/>
      <c r="X49" s="86">
        <v>21</v>
      </c>
      <c r="Y49" s="86">
        <f>10/3.6</f>
        <v>2.7777777777777777</v>
      </c>
      <c r="Z49" s="382">
        <v>30</v>
      </c>
      <c r="AA49" s="84">
        <v>31.536000000000001</v>
      </c>
      <c r="AB49" s="86">
        <v>0.97</v>
      </c>
      <c r="AC49" s="349">
        <v>0</v>
      </c>
      <c r="AD49" s="349">
        <v>0</v>
      </c>
      <c r="AE49" s="87">
        <v>5</v>
      </c>
      <c r="AH49" s="59" t="s">
        <v>688</v>
      </c>
      <c r="AI49" s="59"/>
      <c r="AJ49" s="59"/>
      <c r="AK49" s="59"/>
      <c r="AL49" s="59"/>
    </row>
    <row r="50" spans="1:40" ht="9.75" customHeight="1">
      <c r="A50" s="154" t="str">
        <f>+Q22</f>
        <v>ELCREWind00</v>
      </c>
      <c r="B50" s="93"/>
      <c r="C50" s="83" t="str">
        <f>$A$2&amp;RIGHT(Sector_Fuels_ELC!D15,3)</f>
        <v>ELCWIN</v>
      </c>
      <c r="D50" s="83" t="str">
        <f t="shared" si="5"/>
        <v>ELC</v>
      </c>
      <c r="E50" s="92"/>
      <c r="F50" s="92">
        <v>4.1250000000000002E-2</v>
      </c>
      <c r="G50" s="92">
        <v>0.36264999999999997</v>
      </c>
      <c r="H50" s="92">
        <v>0.17269999999999999</v>
      </c>
      <c r="I50" s="92">
        <v>0.13300000000000001</v>
      </c>
      <c r="J50" s="379">
        <f t="shared" si="6"/>
        <v>0.70960000000000001</v>
      </c>
      <c r="K50" s="380">
        <v>0</v>
      </c>
      <c r="L50" s="93"/>
      <c r="M50" s="93"/>
      <c r="N50" s="93"/>
      <c r="O50" s="93"/>
      <c r="P50" s="86">
        <v>1</v>
      </c>
      <c r="Q50" s="86">
        <f>+P50</f>
        <v>1</v>
      </c>
      <c r="R50" s="381">
        <v>0.39737877448748443</v>
      </c>
      <c r="S50" s="381">
        <v>0.37534432673447998</v>
      </c>
      <c r="T50" s="93">
        <v>7.2257995727880324</v>
      </c>
      <c r="U50" s="387">
        <v>6.8251327194423101</v>
      </c>
      <c r="W50" s="93">
        <v>1</v>
      </c>
      <c r="X50" s="86">
        <v>61.51</v>
      </c>
      <c r="Y50" s="86">
        <f>3/3.6</f>
        <v>0.83333333333333326</v>
      </c>
      <c r="Z50" s="382">
        <v>25</v>
      </c>
      <c r="AA50" s="84">
        <v>31.536000000000001</v>
      </c>
      <c r="AB50" s="86">
        <v>0.25</v>
      </c>
      <c r="AC50" s="349">
        <v>0</v>
      </c>
      <c r="AD50" s="349">
        <v>0</v>
      </c>
      <c r="AE50" s="87">
        <v>5</v>
      </c>
      <c r="AH50" s="59" t="s">
        <v>123</v>
      </c>
      <c r="AI50" s="59"/>
      <c r="AJ50" s="59"/>
      <c r="AK50" s="59"/>
      <c r="AL50" s="59"/>
    </row>
    <row r="51" spans="1:40" ht="9.75" customHeight="1">
      <c r="A51" s="154" t="str">
        <f>+Q23</f>
        <v>ELCREGEO00</v>
      </c>
      <c r="B51" s="93"/>
      <c r="C51" s="83" t="str">
        <f>$A$2&amp;RIGHT(Sector_Fuels_ELC!D13,3)</f>
        <v>ELCGEO</v>
      </c>
      <c r="D51" s="83" t="str">
        <f>$C$13</f>
        <v>ELC</v>
      </c>
      <c r="E51" s="92"/>
      <c r="F51" s="92">
        <v>0.44639999999999996</v>
      </c>
      <c r="G51" s="92">
        <v>0.10829999999999999</v>
      </c>
      <c r="H51" s="92">
        <v>0.436</v>
      </c>
      <c r="I51" s="92">
        <v>2.5000000000000001E-2</v>
      </c>
      <c r="J51" s="379">
        <f t="shared" si="6"/>
        <v>1.0156999999999998</v>
      </c>
      <c r="K51" s="380">
        <v>0</v>
      </c>
      <c r="L51" s="93"/>
      <c r="M51" s="93"/>
      <c r="N51" s="93"/>
      <c r="O51" s="93"/>
      <c r="P51" s="86">
        <f>-T51/'EB1'!S10</f>
        <v>0.15688835212020039</v>
      </c>
      <c r="Q51" s="86">
        <f>+P51</f>
        <v>0.15688835212020039</v>
      </c>
      <c r="R51" s="381">
        <v>0.93</v>
      </c>
      <c r="S51" s="381">
        <f>+R51</f>
        <v>0.93</v>
      </c>
      <c r="T51" s="93">
        <v>28.28</v>
      </c>
      <c r="U51" s="93">
        <v>28.4</v>
      </c>
      <c r="W51" s="93">
        <v>1</v>
      </c>
      <c r="X51" s="86">
        <v>107.64</v>
      </c>
      <c r="Y51" s="86">
        <v>0</v>
      </c>
      <c r="Z51" s="84">
        <v>40</v>
      </c>
      <c r="AA51" s="84">
        <v>31.536000000000001</v>
      </c>
      <c r="AB51" s="84">
        <v>0.92300000000000004</v>
      </c>
      <c r="AC51" s="383">
        <v>0</v>
      </c>
      <c r="AD51" s="383">
        <v>0</v>
      </c>
      <c r="AE51" s="87">
        <v>5</v>
      </c>
      <c r="AF51" s="183">
        <f>+Emissions!J12/Existing_techs_NI!T51</f>
        <v>23.892857142857142</v>
      </c>
      <c r="AH51" s="59" t="s">
        <v>122</v>
      </c>
      <c r="AI51" s="59"/>
      <c r="AJ51" s="59"/>
      <c r="AK51" s="59"/>
      <c r="AL51" s="59"/>
    </row>
    <row r="52" spans="1:40" ht="9.75" customHeight="1">
      <c r="A52" s="154" t="s">
        <v>780</v>
      </c>
      <c r="B52" s="93" t="s">
        <v>697</v>
      </c>
      <c r="C52" s="83" t="s">
        <v>687</v>
      </c>
      <c r="D52" s="83" t="str">
        <f>$C$13</f>
        <v>ELC</v>
      </c>
      <c r="E52" s="92"/>
      <c r="F52" s="92"/>
      <c r="G52" s="92"/>
      <c r="H52" s="92"/>
      <c r="I52" s="92"/>
      <c r="J52" s="379"/>
      <c r="K52" s="380"/>
      <c r="L52" s="93"/>
      <c r="M52" s="93"/>
      <c r="N52" s="93"/>
      <c r="O52" s="93"/>
      <c r="P52" s="86"/>
      <c r="Q52" s="86"/>
      <c r="R52" s="381"/>
      <c r="S52" s="381"/>
      <c r="T52" s="93"/>
      <c r="U52" s="93">
        <v>28.4</v>
      </c>
      <c r="W52" s="93"/>
      <c r="X52" s="86"/>
      <c r="Y52" s="86"/>
      <c r="Z52" s="84"/>
      <c r="AA52" s="84"/>
      <c r="AB52" s="84"/>
      <c r="AC52" s="383"/>
      <c r="AD52" s="383"/>
      <c r="AE52" s="87"/>
      <c r="AF52" s="183"/>
      <c r="AH52" s="59" t="s">
        <v>122</v>
      </c>
      <c r="AI52" s="59"/>
      <c r="AJ52" s="59"/>
      <c r="AK52" s="59"/>
      <c r="AL52" s="59"/>
    </row>
    <row r="53" spans="1:40" ht="9.75" customHeight="1">
      <c r="A53" s="154" t="str">
        <f>+Q24</f>
        <v>ELCREBIG00</v>
      </c>
      <c r="B53" s="93"/>
      <c r="C53" s="83" t="s">
        <v>682</v>
      </c>
      <c r="D53" s="83" t="str">
        <f>$C$13</f>
        <v>ELC</v>
      </c>
      <c r="F53" s="92">
        <v>0.03</v>
      </c>
      <c r="H53" s="92">
        <v>5.0000000000000001E-3</v>
      </c>
      <c r="J53" s="379">
        <f t="shared" si="6"/>
        <v>3.4999999999999996E-2</v>
      </c>
      <c r="K53" s="380">
        <v>0</v>
      </c>
      <c r="L53" s="181"/>
      <c r="M53" s="181"/>
      <c r="N53" s="181"/>
      <c r="O53" s="181"/>
      <c r="P53" s="86">
        <v>0.28443459328166515</v>
      </c>
      <c r="Q53" s="86">
        <v>0.29696323863804291</v>
      </c>
      <c r="R53" s="381">
        <v>0.80588171341596004</v>
      </c>
      <c r="S53" s="381">
        <v>0.88787417554540848</v>
      </c>
      <c r="T53" s="93">
        <v>0.88949999999999996</v>
      </c>
      <c r="U53" s="387">
        <v>0.98</v>
      </c>
      <c r="W53" s="93"/>
      <c r="X53" s="86">
        <v>36</v>
      </c>
      <c r="Y53" s="86">
        <f>4/3.6</f>
        <v>1.1111111111111112</v>
      </c>
      <c r="Z53" s="84">
        <v>30</v>
      </c>
      <c r="AA53" s="84">
        <v>31.536000000000001</v>
      </c>
      <c r="AB53" s="84">
        <v>0.66</v>
      </c>
      <c r="AC53" s="383">
        <v>0</v>
      </c>
      <c r="AD53" s="383">
        <v>0</v>
      </c>
      <c r="AE53" s="59">
        <v>5</v>
      </c>
      <c r="AF53" s="59"/>
      <c r="AH53" s="59" t="s">
        <v>191</v>
      </c>
      <c r="AI53" s="59"/>
      <c r="AJ53" s="59"/>
      <c r="AK53" s="59"/>
      <c r="AL53" s="59"/>
    </row>
    <row r="54" spans="1:40" ht="9.75" customHeight="1">
      <c r="A54" s="351" t="str">
        <f>+Q25</f>
        <v>ELCRESOL00</v>
      </c>
      <c r="C54" s="56" t="s">
        <v>696</v>
      </c>
      <c r="D54" s="56" t="s">
        <v>740</v>
      </c>
      <c r="H54" s="92">
        <v>2.6414E-2</v>
      </c>
      <c r="I54" s="92">
        <v>9.1153000000000012E-2</v>
      </c>
      <c r="J54" s="379">
        <f t="shared" si="6"/>
        <v>0.117567</v>
      </c>
      <c r="K54" s="380">
        <v>0</v>
      </c>
      <c r="P54" s="86">
        <v>1</v>
      </c>
      <c r="Q54" s="86">
        <f>+P54</f>
        <v>1</v>
      </c>
      <c r="W54" s="93"/>
      <c r="X54" s="56">
        <v>41</v>
      </c>
      <c r="Y54" s="352">
        <f>4/3.6</f>
        <v>1.1111111111111112</v>
      </c>
      <c r="Z54" s="56">
        <v>20</v>
      </c>
      <c r="AA54" s="84">
        <v>31.536000000000001</v>
      </c>
      <c r="AB54" s="56">
        <v>0</v>
      </c>
      <c r="AC54" s="56">
        <v>0</v>
      </c>
      <c r="AD54" s="56">
        <v>0</v>
      </c>
      <c r="AE54" s="56">
        <v>5</v>
      </c>
      <c r="AH54" s="59" t="s">
        <v>689</v>
      </c>
      <c r="AI54" s="59"/>
      <c r="AJ54" s="59"/>
      <c r="AK54" s="59"/>
      <c r="AL54" s="59"/>
    </row>
    <row r="55" spans="1:40" ht="9.75" customHeight="1">
      <c r="AI55" s="59"/>
      <c r="AJ55" s="59"/>
      <c r="AK55" s="59"/>
      <c r="AL55" s="59"/>
    </row>
    <row r="56" spans="1:40" ht="9.75" customHeight="1">
      <c r="AH56" s="59"/>
      <c r="AI56" s="59"/>
      <c r="AJ56" s="59"/>
      <c r="AK56" s="59"/>
      <c r="AL56" s="59"/>
    </row>
    <row r="57" spans="1:40" ht="9.75" customHeight="1">
      <c r="W57" s="56" t="s">
        <v>730</v>
      </c>
      <c r="AA57" s="56" t="s">
        <v>732</v>
      </c>
      <c r="AH57" s="59"/>
      <c r="AI57" s="59"/>
      <c r="AJ57" s="59"/>
      <c r="AK57" s="59"/>
      <c r="AL57" s="59"/>
    </row>
    <row r="58" spans="1:40" ht="9.75" customHeight="1">
      <c r="V58" s="56" t="s">
        <v>731</v>
      </c>
      <c r="Z58" s="56" t="s">
        <v>733</v>
      </c>
      <c r="AG58" s="59"/>
      <c r="AH58" s="59"/>
      <c r="AI58" s="59"/>
      <c r="AJ58" s="59"/>
      <c r="AK58" s="59"/>
      <c r="AL58" s="59"/>
    </row>
    <row r="59" spans="1:40" ht="9.75" customHeight="1">
      <c r="AG59" s="59"/>
      <c r="AH59" s="59"/>
      <c r="AI59" s="59"/>
      <c r="AJ59" s="59"/>
      <c r="AK59" s="59"/>
      <c r="AL59" s="59"/>
    </row>
    <row r="60" spans="1:40" ht="9.75" customHeight="1">
      <c r="S60" s="56" t="s">
        <v>791</v>
      </c>
      <c r="AG60" s="59"/>
      <c r="AH60" s="59"/>
      <c r="AI60" s="59"/>
      <c r="AJ60" s="59"/>
      <c r="AK60" s="59"/>
      <c r="AL60" s="59"/>
    </row>
    <row r="61" spans="1:40" ht="9.75" customHeight="1">
      <c r="AG61" s="59"/>
      <c r="AH61" s="59"/>
      <c r="AI61" s="59"/>
      <c r="AJ61" s="59"/>
      <c r="AK61" s="59"/>
      <c r="AL61" s="59"/>
    </row>
    <row r="62" spans="1:40" ht="9.75" customHeight="1"/>
    <row r="63" spans="1:40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N63" s="384"/>
    </row>
    <row r="64" spans="1:40" ht="9.75" customHeight="1">
      <c r="A64" s="90" t="s">
        <v>395</v>
      </c>
      <c r="C64" s="90" t="s">
        <v>396</v>
      </c>
    </row>
    <row r="65" spans="1:40" s="56" customFormat="1" ht="9.75" customHeight="1">
      <c r="A65" s="90" t="s">
        <v>398</v>
      </c>
      <c r="C65" s="90" t="s">
        <v>399</v>
      </c>
      <c r="AM65" s="59"/>
      <c r="AN65" s="59"/>
    </row>
    <row r="66" spans="1:40" s="56" customFormat="1" ht="9.75" customHeight="1">
      <c r="A66" s="56" t="s">
        <v>433</v>
      </c>
      <c r="C66" s="90" t="s">
        <v>434</v>
      </c>
      <c r="AM66" s="59"/>
      <c r="AN66" s="59"/>
    </row>
    <row r="67" spans="1:40" s="56" customFormat="1" ht="9.75" customHeight="1">
      <c r="AM67" s="59"/>
      <c r="AN67" s="59"/>
    </row>
    <row r="68" spans="1:40" s="56" customFormat="1" ht="9.75" customHeight="1">
      <c r="L68" s="352"/>
      <c r="M68" s="352"/>
      <c r="N68" s="352"/>
      <c r="O68" s="352"/>
      <c r="P68" s="352"/>
      <c r="Q68" s="352"/>
      <c r="R68" s="352"/>
      <c r="AM68" s="59"/>
      <c r="AN68" s="59"/>
    </row>
    <row r="69" spans="1:40" s="56" customFormat="1" ht="9.75" customHeight="1">
      <c r="L69" s="352"/>
      <c r="M69" s="352"/>
      <c r="N69" s="352"/>
      <c r="O69" s="352"/>
      <c r="P69" s="352"/>
      <c r="Q69" s="352"/>
      <c r="R69" s="352"/>
      <c r="AM69" s="59"/>
      <c r="AN69" s="59"/>
    </row>
    <row r="70" spans="1:40" s="56" customFormat="1" ht="9.75" customHeight="1">
      <c r="L70" s="352"/>
      <c r="M70" s="352"/>
      <c r="N70" s="352"/>
      <c r="O70" s="352"/>
      <c r="P70" s="352"/>
      <c r="Q70" s="352"/>
      <c r="R70" s="352"/>
      <c r="S70" s="181"/>
      <c r="T70" s="181"/>
      <c r="AM70" s="59"/>
      <c r="AN70" s="59"/>
    </row>
    <row r="71" spans="1:40" s="56" customFormat="1" ht="9.75" customHeight="1">
      <c r="L71" s="352"/>
      <c r="M71" s="352"/>
      <c r="N71" s="352"/>
      <c r="O71" s="352"/>
      <c r="P71" s="352"/>
      <c r="Q71" s="352"/>
      <c r="R71" s="352"/>
      <c r="S71" s="181"/>
      <c r="T71" s="181"/>
      <c r="AM71" s="59"/>
      <c r="AN71" s="59"/>
    </row>
    <row r="72" spans="1:40" s="56" customFormat="1" ht="9.75" customHeight="1">
      <c r="O72" s="352"/>
      <c r="P72" s="352"/>
      <c r="Q72" s="352"/>
      <c r="R72" s="352"/>
      <c r="S72" s="181"/>
      <c r="T72" s="181"/>
      <c r="AM72" s="59"/>
      <c r="AN72" s="59"/>
    </row>
    <row r="73" spans="1:40" s="56" customFormat="1" ht="9.75" customHeight="1">
      <c r="O73" s="352"/>
      <c r="P73" s="352"/>
      <c r="Q73" s="352"/>
      <c r="R73" s="352"/>
      <c r="S73" s="181"/>
      <c r="T73" s="181"/>
      <c r="AM73" s="59"/>
      <c r="AN73" s="59"/>
    </row>
    <row r="74" spans="1:40" s="56" customFormat="1" ht="9.75" customHeight="1">
      <c r="O74" s="352"/>
      <c r="P74" s="352"/>
      <c r="Q74" s="352"/>
      <c r="R74" s="352"/>
      <c r="S74" s="181"/>
      <c r="T74" s="181"/>
      <c r="AM74" s="59"/>
      <c r="AN74" s="59"/>
    </row>
    <row r="75" spans="1:40" s="56" customFormat="1" ht="9.75" customHeight="1">
      <c r="O75" s="352"/>
      <c r="P75" s="352"/>
      <c r="Q75" s="352"/>
      <c r="R75" s="352"/>
      <c r="S75" s="181"/>
      <c r="T75" s="181"/>
      <c r="AM75" s="59"/>
      <c r="AN75" s="59"/>
    </row>
    <row r="76" spans="1:40" s="56" customFormat="1" ht="9.75" customHeight="1">
      <c r="O76" s="352"/>
      <c r="P76" s="352"/>
      <c r="Q76" s="352"/>
      <c r="R76" s="352"/>
      <c r="S76" s="181"/>
      <c r="T76" s="181"/>
      <c r="AM76" s="59"/>
      <c r="AN76" s="59"/>
    </row>
    <row r="77" spans="1:40" s="56" customFormat="1" ht="9.75" customHeight="1">
      <c r="O77" s="352"/>
      <c r="P77" s="352"/>
      <c r="Q77" s="352"/>
      <c r="R77" s="352"/>
      <c r="S77" s="181"/>
      <c r="T77" s="181"/>
      <c r="AM77" s="59"/>
      <c r="AN77" s="59"/>
    </row>
    <row r="78" spans="1:40" s="56" customFormat="1" ht="9.75" customHeight="1">
      <c r="O78" s="352"/>
      <c r="P78" s="352"/>
      <c r="Q78" s="352"/>
      <c r="R78" s="352"/>
      <c r="S78" s="181"/>
      <c r="T78" s="181"/>
      <c r="AM78" s="59"/>
      <c r="AN78" s="59"/>
    </row>
    <row r="79" spans="1:40" s="56" customFormat="1" ht="9.75" customHeight="1">
      <c r="Q79" s="352"/>
      <c r="R79" s="352"/>
      <c r="S79" s="181"/>
      <c r="T79" s="181"/>
      <c r="AM79" s="59"/>
      <c r="AN79" s="59"/>
    </row>
    <row r="80" spans="1:40" s="56" customFormat="1" ht="9.75" customHeight="1">
      <c r="Q80" s="352"/>
      <c r="R80" s="352"/>
      <c r="S80" s="181"/>
      <c r="T80" s="181"/>
      <c r="AM80" s="59"/>
      <c r="AN80" s="59"/>
    </row>
    <row r="81" spans="17:40" s="56" customFormat="1" ht="9.75" customHeight="1">
      <c r="Q81" s="352"/>
      <c r="R81" s="352"/>
      <c r="S81" s="181"/>
      <c r="T81" s="181"/>
      <c r="AM81" s="59"/>
      <c r="AN81" s="59"/>
    </row>
    <row r="82" spans="17:40" s="56" customFormat="1" ht="9.75" customHeight="1">
      <c r="Q82" s="352"/>
      <c r="R82" s="352"/>
      <c r="S82" s="181"/>
      <c r="T82" s="181"/>
      <c r="AM82" s="59"/>
      <c r="AN82" s="59"/>
    </row>
    <row r="83" spans="17:40" s="56" customFormat="1" ht="9.75" customHeight="1">
      <c r="Q83" s="352"/>
      <c r="R83" s="352"/>
      <c r="S83" s="181"/>
      <c r="T83" s="181"/>
      <c r="AM83" s="59"/>
      <c r="AN83" s="59"/>
    </row>
    <row r="84" spans="17:40" s="56" customFormat="1" ht="9.75" customHeight="1">
      <c r="Q84" s="352"/>
      <c r="R84" s="352"/>
      <c r="S84" s="181"/>
      <c r="T84" s="181"/>
      <c r="AM84" s="59"/>
      <c r="AN84" s="59"/>
    </row>
    <row r="85" spans="17:40" s="56" customFormat="1" ht="9.75" customHeight="1">
      <c r="Q85" s="352"/>
      <c r="R85" s="352"/>
      <c r="S85" s="181"/>
      <c r="T85" s="181"/>
      <c r="AM85" s="59"/>
      <c r="AN85" s="59"/>
    </row>
    <row r="86" spans="17:40" s="56" customFormat="1" ht="9.75" customHeight="1">
      <c r="AM86" s="59"/>
      <c r="AN86" s="59"/>
    </row>
    <row r="65524" spans="23:40" s="56" customFormat="1">
      <c r="W65524" s="370"/>
      <c r="AM65524" s="59"/>
      <c r="AN65524" s="5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6" customWidth="1"/>
    <col min="4" max="4" width="29" style="56" customWidth="1"/>
    <col min="5" max="7" width="18.140625" style="56" customWidth="1"/>
    <col min="8" max="9" width="8" style="56" customWidth="1"/>
    <col min="10" max="10" width="7.7109375" style="56" customWidth="1"/>
    <col min="11" max="11" width="14" style="56" customWidth="1"/>
    <col min="12" max="12" width="13.42578125" style="56" customWidth="1"/>
    <col min="13" max="13" width="11.28515625" style="56" customWidth="1"/>
    <col min="14" max="14" width="7.85546875" style="56" bestFit="1" customWidth="1"/>
    <col min="15" max="15" width="13.140625" style="56" bestFit="1" customWidth="1"/>
    <col min="16" max="16" width="16.42578125" style="56" bestFit="1" customWidth="1"/>
    <col min="17" max="17" width="16.42578125" style="56" customWidth="1"/>
    <col min="18" max="18" width="18.140625" style="56" customWidth="1"/>
    <col min="19" max="19" width="9.85546875" style="56" customWidth="1"/>
    <col min="20" max="20" width="10.28515625" style="56" customWidth="1"/>
    <col min="21" max="21" width="7" style="57" customWidth="1"/>
    <col min="22" max="22" width="9.42578125" style="57" customWidth="1"/>
    <col min="23" max="25" width="7.5703125" style="57" customWidth="1"/>
    <col min="26" max="26" width="6.7109375" style="57" customWidth="1"/>
    <col min="27" max="34" width="18.140625" style="57" customWidth="1"/>
    <col min="35" max="35" width="15" style="58" bestFit="1" customWidth="1"/>
    <col min="36" max="36" width="8.140625" style="58" bestFit="1" customWidth="1"/>
    <col min="37" max="16384" width="8.85546875" style="59"/>
  </cols>
  <sheetData>
    <row r="1" spans="1:34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4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4" ht="9.75" customHeight="1"/>
    <row r="4" spans="1:34" s="59" customFormat="1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F4" s="56"/>
      <c r="G4" s="46"/>
      <c r="H4" s="56"/>
      <c r="I4" s="56"/>
      <c r="J4" s="4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s="59" customFormat="1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F5" s="56"/>
      <c r="G5" s="46"/>
      <c r="H5" s="56"/>
      <c r="I5" s="56"/>
      <c r="J5" s="4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ht="9.75" customHeight="1"/>
    <row r="7" spans="1:34" ht="9.75" customHeight="1"/>
    <row r="8" spans="1:34" ht="9.75" customHeight="1"/>
    <row r="9" spans="1:34" ht="9.75" customHeight="1">
      <c r="A9" s="57"/>
      <c r="B9" s="57"/>
      <c r="C9" s="57"/>
      <c r="D9" s="57"/>
      <c r="E9" s="57"/>
      <c r="F9" s="57"/>
      <c r="G9" s="57"/>
      <c r="H9" s="57"/>
      <c r="I9" s="57"/>
      <c r="T9" s="60"/>
    </row>
    <row r="10" spans="1:34" ht="9.75" customHeight="1">
      <c r="A10" s="61"/>
      <c r="B10" s="61"/>
      <c r="C10" s="62"/>
      <c r="D10" s="62"/>
      <c r="E10" s="62"/>
      <c r="F10" s="62"/>
      <c r="G10" s="62"/>
      <c r="H10" s="62"/>
      <c r="I10" s="62"/>
      <c r="T10" s="63"/>
    </row>
    <row r="11" spans="1:34" ht="9.75" customHeight="1">
      <c r="A11" s="64" t="s">
        <v>7</v>
      </c>
      <c r="B11" s="65" t="s">
        <v>30</v>
      </c>
      <c r="C11" s="64" t="s">
        <v>0</v>
      </c>
      <c r="D11" s="64" t="s">
        <v>3</v>
      </c>
      <c r="E11" s="64" t="s">
        <v>4</v>
      </c>
      <c r="F11" s="64" t="s">
        <v>8</v>
      </c>
      <c r="G11" s="64" t="s">
        <v>9</v>
      </c>
      <c r="H11" s="64" t="s">
        <v>10</v>
      </c>
      <c r="I11" s="64" t="s">
        <v>12</v>
      </c>
      <c r="T11" s="63"/>
    </row>
    <row r="12" spans="1:34" ht="9.75" customHeight="1">
      <c r="A12" s="66" t="s">
        <v>35</v>
      </c>
      <c r="B12" s="66" t="s">
        <v>31</v>
      </c>
      <c r="C12" s="66" t="s">
        <v>26</v>
      </c>
      <c r="D12" s="66" t="s">
        <v>27</v>
      </c>
      <c r="E12" s="66" t="s">
        <v>4</v>
      </c>
      <c r="F12" s="66" t="s">
        <v>38</v>
      </c>
      <c r="G12" s="66" t="s">
        <v>39</v>
      </c>
      <c r="H12" s="66" t="s">
        <v>28</v>
      </c>
      <c r="I12" s="66" t="s">
        <v>29</v>
      </c>
      <c r="T12" s="67"/>
    </row>
    <row r="13" spans="1:34" ht="9.75" customHeight="1">
      <c r="A13" s="68" t="s">
        <v>48</v>
      </c>
      <c r="B13" s="68"/>
      <c r="C13" s="68" t="str">
        <f>'EB1'!B11</f>
        <v>ELC</v>
      </c>
      <c r="D13" s="68" t="s">
        <v>58</v>
      </c>
      <c r="E13" s="68" t="str">
        <f>$D$2</f>
        <v>PJ</v>
      </c>
      <c r="F13" s="68" t="s">
        <v>697</v>
      </c>
      <c r="G13" s="68" t="s">
        <v>96</v>
      </c>
      <c r="H13" s="68"/>
      <c r="I13" s="68" t="s">
        <v>44</v>
      </c>
      <c r="T13" s="69"/>
    </row>
    <row r="14" spans="1:34" ht="9.75" customHeight="1">
      <c r="A14" s="68" t="s">
        <v>72</v>
      </c>
      <c r="B14" s="68"/>
      <c r="C14" s="68" t="str">
        <f>$A$2&amp;'EB1'!$B$17</f>
        <v>ELCCO2</v>
      </c>
      <c r="D14" s="68" t="s">
        <v>487</v>
      </c>
      <c r="E14" s="68" t="str">
        <f>'EB1'!$G$2</f>
        <v>kt</v>
      </c>
      <c r="F14" s="68"/>
      <c r="G14" s="68" t="s">
        <v>437</v>
      </c>
      <c r="H14" s="68"/>
      <c r="I14" s="68"/>
      <c r="T14" s="69"/>
    </row>
    <row r="15" spans="1:34" ht="9.75" customHeight="1">
      <c r="A15" s="62"/>
      <c r="B15" s="62"/>
      <c r="C15" s="62"/>
      <c r="D15" s="62"/>
      <c r="E15" s="62"/>
      <c r="F15" s="62"/>
      <c r="G15" s="62"/>
      <c r="H15" s="62"/>
      <c r="I15" s="62"/>
      <c r="T15" s="69"/>
    </row>
    <row r="16" spans="1:34" ht="9.75" customHeight="1">
      <c r="A16" s="57"/>
      <c r="B16" s="57"/>
      <c r="C16" s="57"/>
      <c r="D16" s="57"/>
      <c r="E16" s="57"/>
      <c r="F16" s="57"/>
      <c r="G16" s="57"/>
      <c r="H16" s="57"/>
      <c r="I16" s="57"/>
      <c r="T16" s="69"/>
    </row>
    <row r="17" spans="1:20" ht="9.75" customHeight="1">
      <c r="A17" s="57"/>
      <c r="B17" s="57"/>
      <c r="C17" s="57"/>
      <c r="D17" s="57"/>
      <c r="E17" s="57"/>
      <c r="F17" s="57"/>
      <c r="G17" s="57"/>
      <c r="H17" s="57"/>
      <c r="I17" s="57"/>
      <c r="T17" s="69"/>
    </row>
    <row r="18" spans="1:20" ht="9.75" customHeight="1">
      <c r="A18" s="61"/>
      <c r="B18" s="61"/>
      <c r="C18" s="62"/>
      <c r="D18" s="62"/>
      <c r="E18" s="62"/>
      <c r="F18" s="62"/>
      <c r="G18" s="62"/>
      <c r="H18" s="62"/>
      <c r="I18" s="62"/>
      <c r="T18" s="69"/>
    </row>
    <row r="19" spans="1:20" ht="9.75" customHeight="1">
      <c r="A19" s="64" t="s">
        <v>11</v>
      </c>
      <c r="B19" s="65" t="s">
        <v>30</v>
      </c>
      <c r="C19" s="64" t="s">
        <v>1</v>
      </c>
      <c r="D19" s="64" t="s">
        <v>2</v>
      </c>
      <c r="E19" s="64" t="s">
        <v>16</v>
      </c>
      <c r="F19" s="64" t="s">
        <v>17</v>
      </c>
      <c r="G19" s="64" t="s">
        <v>18</v>
      </c>
      <c r="H19" s="64" t="s">
        <v>19</v>
      </c>
      <c r="I19" s="64" t="s">
        <v>20</v>
      </c>
    </row>
    <row r="20" spans="1:20" ht="9.75" customHeight="1" thickBot="1">
      <c r="A20" s="70" t="s">
        <v>36</v>
      </c>
      <c r="B20" s="70" t="s">
        <v>31</v>
      </c>
      <c r="C20" s="70" t="s">
        <v>21</v>
      </c>
      <c r="D20" s="70" t="s">
        <v>22</v>
      </c>
      <c r="E20" s="70" t="s">
        <v>23</v>
      </c>
      <c r="F20" s="70" t="s">
        <v>24</v>
      </c>
      <c r="G20" s="70" t="s">
        <v>41</v>
      </c>
      <c r="H20" s="70" t="s">
        <v>40</v>
      </c>
      <c r="I20" s="70" t="s">
        <v>25</v>
      </c>
      <c r="R20" s="71"/>
      <c r="S20" s="71"/>
    </row>
    <row r="21" spans="1:20" ht="9.75" customHeight="1">
      <c r="A21" s="66" t="s">
        <v>55</v>
      </c>
      <c r="B21" s="66"/>
      <c r="C21" s="66"/>
      <c r="D21" s="66"/>
      <c r="E21" s="66"/>
      <c r="F21" s="66"/>
      <c r="G21" s="66"/>
      <c r="H21" s="66"/>
      <c r="I21" s="66"/>
      <c r="K21" s="91" t="s">
        <v>397</v>
      </c>
      <c r="R21" s="71"/>
      <c r="S21" s="71"/>
    </row>
    <row r="22" spans="1:20" ht="9.75" customHeight="1">
      <c r="A22" s="68" t="s">
        <v>82</v>
      </c>
      <c r="B22" s="68"/>
      <c r="C22" s="68" t="str">
        <f>$A$2&amp;$D$5&amp;$G$2&amp;K22&amp;"00"</f>
        <v>ELCREHYDRRInflex00</v>
      </c>
      <c r="D22" s="72" t="str">
        <f>"Power Plants Existing - "&amp;'[3]Cap-2017'!D60</f>
        <v>Power Plants Existing - Hydro - Inflexible run-of-river</v>
      </c>
      <c r="E22" s="68" t="str">
        <f t="shared" ref="E22:E35" si="0">$D$2</f>
        <v>PJ</v>
      </c>
      <c r="F22" s="68" t="str">
        <f t="shared" ref="F22:F35" si="1">$E$2</f>
        <v>GW</v>
      </c>
      <c r="G22" s="68" t="s">
        <v>96</v>
      </c>
      <c r="H22" s="68"/>
      <c r="I22" s="68" t="s">
        <v>708</v>
      </c>
      <c r="K22" s="84" t="s">
        <v>684</v>
      </c>
      <c r="L22" s="56" t="str">
        <f>'[3]Cap-2017'!D60</f>
        <v>Hydro - Inflexible run-of-river</v>
      </c>
      <c r="R22" s="71"/>
      <c r="S22" s="71"/>
    </row>
    <row r="23" spans="1:20" ht="9.75" customHeight="1">
      <c r="A23" s="68" t="s">
        <v>82</v>
      </c>
      <c r="B23" s="68"/>
      <c r="C23" s="68" t="str">
        <f t="shared" ref="C23:C24" si="2">$A$2&amp;$D$5&amp;$G$2&amp;K23&amp;"00"</f>
        <v>ELCREHYDDAM00</v>
      </c>
      <c r="D23" s="72" t="str">
        <f>"Power Plants Existing - "&amp;'[3]Cap-2017'!D61</f>
        <v>Power Plants Existing - Controlled Hydro</v>
      </c>
      <c r="E23" s="68" t="str">
        <f t="shared" si="0"/>
        <v>PJ</v>
      </c>
      <c r="F23" s="68" t="str">
        <f t="shared" si="1"/>
        <v>GW</v>
      </c>
      <c r="G23" s="68" t="s">
        <v>96</v>
      </c>
      <c r="H23" s="68"/>
      <c r="I23" s="68" t="s">
        <v>708</v>
      </c>
      <c r="K23" s="84" t="s">
        <v>685</v>
      </c>
      <c r="L23" s="56" t="str">
        <f>'[3]Cap-2017'!D61</f>
        <v>Controlled Hydro</v>
      </c>
      <c r="R23" s="71"/>
      <c r="S23" s="71"/>
    </row>
    <row r="24" spans="1:20" ht="9.75" customHeight="1">
      <c r="A24" s="68" t="s">
        <v>82</v>
      </c>
      <c r="B24" s="68"/>
      <c r="C24" s="68" t="str">
        <f t="shared" si="2"/>
        <v>ELCREHYDRRFlex00</v>
      </c>
      <c r="D24" s="72" t="str">
        <f>"Power Plants Existing - "&amp;'[3]Cap-2017'!D62</f>
        <v>Power Plants Existing - Hydro - Flexible run- of-river</v>
      </c>
      <c r="E24" s="68" t="str">
        <f t="shared" si="0"/>
        <v>PJ</v>
      </c>
      <c r="F24" s="68" t="str">
        <f t="shared" si="1"/>
        <v>GW</v>
      </c>
      <c r="G24" s="68" t="s">
        <v>96</v>
      </c>
      <c r="H24" s="68"/>
      <c r="I24" s="68" t="s">
        <v>708</v>
      </c>
      <c r="K24" s="84" t="s">
        <v>690</v>
      </c>
      <c r="L24" s="56" t="str">
        <f>'[3]Cap-2017'!D62</f>
        <v>Hydro - Flexible run- of-river</v>
      </c>
      <c r="R24" s="71"/>
      <c r="S24" s="71"/>
    </row>
    <row r="25" spans="1:20" ht="9.75" customHeight="1">
      <c r="A25" s="68" t="s">
        <v>82</v>
      </c>
      <c r="B25" s="68"/>
      <c r="C25" s="68" t="str">
        <f>$A$2&amp;$B$5&amp;$G$2&amp;K25&amp;"00"</f>
        <v>ELCTENGACHP00</v>
      </c>
      <c r="D25" s="72" t="str">
        <f>"Power Plants Existing - "&amp;'[3]Cap-2017'!D63</f>
        <v>Power Plants Existing - Thermal - Cogen</v>
      </c>
      <c r="E25" s="68" t="str">
        <f t="shared" si="0"/>
        <v>PJ</v>
      </c>
      <c r="F25" s="68" t="str">
        <f t="shared" si="1"/>
        <v>GW</v>
      </c>
      <c r="G25" s="68" t="s">
        <v>96</v>
      </c>
      <c r="H25" s="68" t="s">
        <v>722</v>
      </c>
      <c r="I25" s="68" t="s">
        <v>708</v>
      </c>
      <c r="K25" s="84" t="s">
        <v>692</v>
      </c>
      <c r="L25" s="56" t="str">
        <f>'[3]Cap-2017'!D63</f>
        <v>Thermal - Cogen</v>
      </c>
    </row>
    <row r="26" spans="1:20" ht="9.75" customHeight="1">
      <c r="A26" s="68" t="s">
        <v>82</v>
      </c>
      <c r="B26" s="68"/>
      <c r="C26" s="68" t="str">
        <f t="shared" ref="C26:C28" si="3">$A$2&amp;$B$5&amp;$G$2&amp;K26&amp;"00"</f>
        <v>ELCTECOA00</v>
      </c>
      <c r="D26" s="72" t="str">
        <f>"Power Plants Existing - "&amp;'[3]Cap-2017'!D64</f>
        <v>Power Plants Existing - Thermal - Coal</v>
      </c>
      <c r="E26" s="68" t="str">
        <f t="shared" si="0"/>
        <v>PJ</v>
      </c>
      <c r="F26" s="68" t="str">
        <f t="shared" si="1"/>
        <v>GW</v>
      </c>
      <c r="G26" s="68" t="s">
        <v>96</v>
      </c>
      <c r="H26" s="68"/>
      <c r="I26" s="68" t="s">
        <v>708</v>
      </c>
      <c r="K26" s="84" t="s">
        <v>42</v>
      </c>
      <c r="L26" s="56" t="str">
        <f>'[3]Cap-2017'!D64</f>
        <v>Thermal - Coal</v>
      </c>
    </row>
    <row r="27" spans="1:20" ht="9.75" customHeight="1">
      <c r="A27" s="68" t="s">
        <v>82</v>
      </c>
      <c r="B27" s="68"/>
      <c r="C27" s="68" t="str">
        <f t="shared" si="3"/>
        <v>ELCTENGA00</v>
      </c>
      <c r="D27" s="72" t="str">
        <f>"Power Plants Existing - "&amp;'[3]Cap-2017'!D65</f>
        <v>Power Plants Existing - Thermal - Gas</v>
      </c>
      <c r="E27" s="68" t="str">
        <f t="shared" si="0"/>
        <v>PJ</v>
      </c>
      <c r="F27" s="68" t="str">
        <f t="shared" si="1"/>
        <v>GW</v>
      </c>
      <c r="G27" s="68" t="s">
        <v>96</v>
      </c>
      <c r="H27" s="68"/>
      <c r="I27" s="68" t="s">
        <v>708</v>
      </c>
      <c r="K27" s="84" t="s">
        <v>151</v>
      </c>
      <c r="L27" s="56" t="str">
        <f>'[3]Cap-2017'!D65</f>
        <v>Thermal - Gas</v>
      </c>
    </row>
    <row r="28" spans="1:20" ht="9.75" customHeight="1">
      <c r="A28" s="68" t="s">
        <v>82</v>
      </c>
      <c r="B28" s="68"/>
      <c r="C28" s="68" t="str">
        <f t="shared" si="3"/>
        <v>ELCTEDSL00</v>
      </c>
      <c r="D28" s="72" t="str">
        <f>"Power Plants Existing - "&amp;'[3]Cap-2017'!D66</f>
        <v>Power Plants Existing - Thermal - Diesel</v>
      </c>
      <c r="E28" s="68" t="str">
        <f t="shared" si="0"/>
        <v>PJ</v>
      </c>
      <c r="F28" s="68" t="str">
        <f t="shared" si="1"/>
        <v>GW</v>
      </c>
      <c r="G28" s="68" t="s">
        <v>96</v>
      </c>
      <c r="H28" s="68"/>
      <c r="I28" s="68" t="s">
        <v>708</v>
      </c>
      <c r="K28" s="84" t="s">
        <v>102</v>
      </c>
      <c r="L28" s="56" t="str">
        <f>'[3]Cap-2017'!D66</f>
        <v>Thermal - Diesel</v>
      </c>
    </row>
    <row r="29" spans="1:20" ht="9.75" customHeight="1">
      <c r="A29" s="68" t="s">
        <v>82</v>
      </c>
      <c r="B29" s="68"/>
      <c r="C29" s="68" t="str">
        <f>$A$2&amp;$D$5&amp;$G$2&amp;K29&amp;"00"</f>
        <v>ELCREWind00</v>
      </c>
      <c r="D29" s="72" t="str">
        <f>"Power Plants Existing - "&amp;'[3]Cap-2017'!D67</f>
        <v>Power Plants Existing - Wind</v>
      </c>
      <c r="E29" s="68" t="str">
        <f t="shared" si="0"/>
        <v>PJ</v>
      </c>
      <c r="F29" s="68" t="str">
        <f t="shared" si="1"/>
        <v>GW</v>
      </c>
      <c r="G29" s="68" t="s">
        <v>96</v>
      </c>
      <c r="H29" s="68"/>
      <c r="I29" s="68" t="s">
        <v>708</v>
      </c>
      <c r="K29" s="84" t="s">
        <v>140</v>
      </c>
      <c r="L29" s="56" t="str">
        <f>'[3]Cap-2017'!D67</f>
        <v>Wind</v>
      </c>
    </row>
    <row r="30" spans="1:20" ht="9.75" customHeight="1">
      <c r="A30" s="68" t="s">
        <v>82</v>
      </c>
      <c r="B30" s="68"/>
      <c r="C30" s="68" t="str">
        <f>$A$2&amp;$D$5&amp;$G$2&amp;K30&amp;"00"</f>
        <v>ELCREGEO00</v>
      </c>
      <c r="D30" s="72" t="str">
        <f>"Power Plants Existing - "&amp;'[3]Cap-2017'!D68</f>
        <v>Power Plants Existing - Geothermal</v>
      </c>
      <c r="E30" s="68" t="str">
        <f t="shared" si="0"/>
        <v>PJ</v>
      </c>
      <c r="F30" s="68" t="str">
        <f t="shared" si="1"/>
        <v>GW</v>
      </c>
      <c r="G30" s="68" t="s">
        <v>96</v>
      </c>
      <c r="H30" s="73"/>
      <c r="I30" s="68" t="s">
        <v>708</v>
      </c>
      <c r="K30" s="84" t="s">
        <v>152</v>
      </c>
      <c r="L30" s="56" t="str">
        <f>'[3]Cap-2017'!D68</f>
        <v>Geothermal</v>
      </c>
    </row>
    <row r="31" spans="1:20" ht="9.75" customHeight="1">
      <c r="A31" s="68" t="s">
        <v>82</v>
      </c>
      <c r="B31" s="68"/>
      <c r="C31" s="68" t="str">
        <f>$A$2&amp;$D$5&amp;$G$2&amp;RIGHT(Sector_Fuels_ELC!D17,3)&amp;"00"</f>
        <v>ELCREBIG00</v>
      </c>
      <c r="D31" s="72" t="str">
        <f>"Power Plants Existing - "&amp;K31&amp;" (Landfills)"</f>
        <v>Power Plants Existing - Biogas (Landfills)</v>
      </c>
      <c r="E31" s="68" t="str">
        <f t="shared" si="0"/>
        <v>PJ</v>
      </c>
      <c r="F31" s="68" t="str">
        <f t="shared" si="1"/>
        <v>GW</v>
      </c>
      <c r="G31" s="68" t="s">
        <v>96</v>
      </c>
      <c r="H31" s="73"/>
      <c r="I31" s="68" t="s">
        <v>708</v>
      </c>
      <c r="K31" s="84" t="s">
        <v>142</v>
      </c>
    </row>
    <row r="32" spans="1:20" ht="9.75" customHeight="1">
      <c r="A32" s="68" t="s">
        <v>82</v>
      </c>
      <c r="B32" s="68"/>
      <c r="C32" s="68" t="str">
        <f>$A$2&amp;$D$5&amp;$G$2&amp;K32&amp;"00"</f>
        <v>ELCRESOL00</v>
      </c>
      <c r="D32" s="72" t="str">
        <f>"Power Plants Existing - "&amp;L32&amp;" plant"</f>
        <v>Power Plants Existing - Solar plant</v>
      </c>
      <c r="E32" s="68" t="str">
        <f t="shared" si="0"/>
        <v>PJ</v>
      </c>
      <c r="F32" s="68" t="str">
        <f t="shared" si="1"/>
        <v>GW</v>
      </c>
      <c r="G32" s="68" t="s">
        <v>96</v>
      </c>
      <c r="H32" s="73"/>
      <c r="I32" s="68" t="s">
        <v>708</v>
      </c>
      <c r="K32" s="56" t="s">
        <v>111</v>
      </c>
      <c r="L32" s="56" t="s">
        <v>139</v>
      </c>
    </row>
    <row r="33" spans="1:37" ht="9.75" customHeight="1"/>
    <row r="34" spans="1:37" ht="9.75" customHeight="1">
      <c r="A34" s="73"/>
      <c r="B34" s="68"/>
      <c r="C34" s="68" t="str">
        <f>$A$2&amp;$C$5&amp;$G$2&amp;RIGHT(Sector_Fuels_ELC!D18,3)&amp;"00"</f>
        <v>ELCCEWOD00</v>
      </c>
      <c r="D34" s="72" t="str">
        <f>"Power Plants Existing - "&amp;'[3]Cap-2017'!D70</f>
        <v>Power Plants Existing - Source: Electricity Statistics, MBIE</v>
      </c>
      <c r="E34" s="68" t="str">
        <f t="shared" si="0"/>
        <v>PJ</v>
      </c>
      <c r="F34" s="68" t="str">
        <f t="shared" si="1"/>
        <v>GW</v>
      </c>
      <c r="G34" s="68" t="s">
        <v>96</v>
      </c>
      <c r="H34" s="73"/>
      <c r="I34" s="73"/>
      <c r="K34" s="84" t="s">
        <v>203</v>
      </c>
    </row>
    <row r="35" spans="1:37" ht="9.75" customHeight="1">
      <c r="A35" s="73"/>
      <c r="B35" s="68"/>
      <c r="C35" s="68" t="str">
        <f>$A$2&amp;$D$5&amp;$G$2&amp;RIGHT(Sector_Fuels_ELC!D19,3)&amp;"00"</f>
        <v>ELCRETID00</v>
      </c>
      <c r="D35" s="68" t="s">
        <v>488</v>
      </c>
      <c r="E35" s="68" t="str">
        <f t="shared" si="0"/>
        <v>PJ</v>
      </c>
      <c r="F35" s="68" t="str">
        <f t="shared" si="1"/>
        <v>GW</v>
      </c>
      <c r="G35" s="68" t="s">
        <v>96</v>
      </c>
      <c r="H35" s="73"/>
      <c r="I35" s="73"/>
      <c r="K35" s="84" t="s">
        <v>441</v>
      </c>
    </row>
    <row r="36" spans="1:37" ht="9.75" customHeight="1">
      <c r="A36" s="57"/>
      <c r="B36" s="57"/>
      <c r="C36" s="57"/>
      <c r="D36" s="57"/>
      <c r="E36" s="57"/>
      <c r="F36" s="57"/>
      <c r="G36" s="57"/>
      <c r="H36" s="57"/>
      <c r="I36" s="57"/>
    </row>
    <row r="37" spans="1:37" ht="9.75" customHeight="1">
      <c r="A37" s="57"/>
      <c r="B37" s="57"/>
      <c r="C37" s="57"/>
      <c r="D37" s="57"/>
      <c r="E37" s="57"/>
      <c r="F37" s="57"/>
      <c r="G37" s="57"/>
      <c r="H37" s="57"/>
      <c r="I37" s="57"/>
    </row>
    <row r="38" spans="1:37" ht="9.75" customHeight="1">
      <c r="C38" s="74"/>
      <c r="D38" s="74"/>
      <c r="E38" s="74"/>
      <c r="F38" s="74"/>
      <c r="G38" s="74"/>
      <c r="H38" s="74"/>
      <c r="K38" s="75"/>
      <c r="L38" s="75"/>
      <c r="M38" s="75"/>
    </row>
    <row r="39" spans="1:37" ht="9.75" customHeight="1">
      <c r="A39" s="76" t="s">
        <v>1</v>
      </c>
      <c r="B39" s="76" t="s">
        <v>5</v>
      </c>
      <c r="C39" s="76" t="s">
        <v>6</v>
      </c>
      <c r="D39" s="76" t="s">
        <v>157</v>
      </c>
      <c r="E39" s="76" t="s">
        <v>158</v>
      </c>
      <c r="F39" s="76" t="s">
        <v>159</v>
      </c>
      <c r="G39" s="76" t="s">
        <v>707</v>
      </c>
      <c r="H39" s="76" t="s">
        <v>747</v>
      </c>
      <c r="I39" s="358" t="s">
        <v>641</v>
      </c>
      <c r="J39" s="358" t="s">
        <v>720</v>
      </c>
      <c r="K39" s="358" t="s">
        <v>721</v>
      </c>
      <c r="L39" s="76" t="s">
        <v>723</v>
      </c>
      <c r="M39" s="76" t="s">
        <v>724</v>
      </c>
      <c r="N39" s="76" t="s">
        <v>57</v>
      </c>
      <c r="O39" s="76" t="s">
        <v>719</v>
      </c>
      <c r="P39" s="76" t="s">
        <v>743</v>
      </c>
      <c r="Q39" s="76" t="s">
        <v>744</v>
      </c>
      <c r="R39" s="76" t="s">
        <v>114</v>
      </c>
      <c r="S39" s="76" t="s">
        <v>56</v>
      </c>
      <c r="T39" s="76" t="s">
        <v>83</v>
      </c>
      <c r="U39" s="76" t="s">
        <v>54</v>
      </c>
      <c r="V39" s="76" t="s">
        <v>113</v>
      </c>
      <c r="W39" s="76" t="s">
        <v>97</v>
      </c>
      <c r="X39" s="348" t="s">
        <v>706</v>
      </c>
      <c r="Y39" s="348" t="s">
        <v>745</v>
      </c>
      <c r="Z39" s="348" t="s">
        <v>693</v>
      </c>
      <c r="AA39" s="348"/>
      <c r="AB39" s="59"/>
      <c r="AC39" s="59"/>
      <c r="AD39" s="59"/>
      <c r="AE39" s="59"/>
      <c r="AF39" s="77" t="s">
        <v>95</v>
      </c>
      <c r="AG39" s="209" t="s">
        <v>95</v>
      </c>
      <c r="AH39" s="58"/>
      <c r="AK39" s="58"/>
    </row>
    <row r="40" spans="1:37" ht="9.75" customHeight="1">
      <c r="A40" s="78" t="s">
        <v>37</v>
      </c>
      <c r="B40" s="78" t="s">
        <v>32</v>
      </c>
      <c r="C40" s="78" t="s">
        <v>33</v>
      </c>
      <c r="D40" s="78" t="s">
        <v>116</v>
      </c>
      <c r="E40" s="78" t="s">
        <v>116</v>
      </c>
      <c r="F40" s="78" t="s">
        <v>116</v>
      </c>
      <c r="G40" s="78" t="s">
        <v>116</v>
      </c>
      <c r="H40" s="78" t="s">
        <v>116</v>
      </c>
      <c r="I40" s="359" t="s">
        <v>34</v>
      </c>
      <c r="J40" s="359" t="s">
        <v>34</v>
      </c>
      <c r="K40" s="360" t="s">
        <v>99</v>
      </c>
      <c r="L40" s="78" t="s">
        <v>635</v>
      </c>
      <c r="M40" s="78" t="s">
        <v>635</v>
      </c>
      <c r="N40" s="78" t="s">
        <v>59</v>
      </c>
      <c r="O40" s="79" t="s">
        <v>66</v>
      </c>
      <c r="P40" s="79"/>
      <c r="Q40" s="78"/>
      <c r="R40" s="78" t="s">
        <v>115</v>
      </c>
      <c r="S40" s="78" t="s">
        <v>65</v>
      </c>
      <c r="T40" s="78" t="s">
        <v>85</v>
      </c>
      <c r="U40" s="78" t="s">
        <v>112</v>
      </c>
      <c r="V40" s="78" t="s">
        <v>86</v>
      </c>
      <c r="W40" s="78" t="s">
        <v>98</v>
      </c>
      <c r="X40" s="81">
        <v>2016</v>
      </c>
      <c r="Y40" s="81"/>
      <c r="Z40" s="56"/>
      <c r="AA40" s="56"/>
      <c r="AB40" s="59"/>
      <c r="AC40" s="59"/>
      <c r="AD40" s="59"/>
      <c r="AE40" s="59"/>
      <c r="AF40" s="80" t="s">
        <v>84</v>
      </c>
      <c r="AG40" s="210" t="s">
        <v>84</v>
      </c>
      <c r="AH40" s="58"/>
      <c r="AK40" s="58"/>
    </row>
    <row r="41" spans="1:37" ht="9.75" customHeight="1">
      <c r="A41" s="78" t="s">
        <v>60</v>
      </c>
      <c r="B41" s="78"/>
      <c r="C41" s="78"/>
      <c r="D41" s="78" t="str">
        <f t="shared" ref="D41:H41" si="4">$E$2</f>
        <v>GW</v>
      </c>
      <c r="E41" s="78" t="str">
        <f t="shared" si="4"/>
        <v>GW</v>
      </c>
      <c r="F41" s="78" t="str">
        <f t="shared" si="4"/>
        <v>GW</v>
      </c>
      <c r="G41" s="78" t="str">
        <f t="shared" si="4"/>
        <v>GW</v>
      </c>
      <c r="H41" s="78" t="str">
        <f t="shared" si="4"/>
        <v>GW</v>
      </c>
      <c r="I41" s="359" t="str">
        <f>$E$2</f>
        <v>GW</v>
      </c>
      <c r="J41" s="361"/>
      <c r="K41" s="361" t="str">
        <f>$E$2</f>
        <v>GW</v>
      </c>
      <c r="L41" s="81">
        <v>0</v>
      </c>
      <c r="M41" s="81"/>
      <c r="N41" s="78"/>
      <c r="O41" s="81"/>
      <c r="P41" s="81"/>
      <c r="Q41" s="81"/>
      <c r="R41" s="78" t="str">
        <f>$F$2&amp;"/"&amp;$E$2</f>
        <v>Milion NZD (2015)/GW</v>
      </c>
      <c r="S41" s="78" t="str">
        <f>$F$2&amp;"/"&amp;$E$2</f>
        <v>Milion NZD (2015)/GW</v>
      </c>
      <c r="T41" s="78" t="str">
        <f>$F$2&amp;"/"&amp;$D$2</f>
        <v>Milion NZD (2015)/PJ</v>
      </c>
      <c r="U41" s="78" t="s">
        <v>61</v>
      </c>
      <c r="V41" s="78" t="str">
        <f>$D$2&amp;"/"&amp;$E$2</f>
        <v>PJ/GW</v>
      </c>
      <c r="W41" s="78"/>
      <c r="X41" s="81"/>
      <c r="Y41" s="81"/>
      <c r="Z41" s="56"/>
      <c r="AA41" s="56"/>
      <c r="AB41" s="59"/>
      <c r="AC41" s="59"/>
      <c r="AD41" s="59"/>
      <c r="AE41" s="59"/>
      <c r="AF41" s="82" t="str">
        <f>H2</f>
        <v>NI</v>
      </c>
      <c r="AG41" s="211" t="s">
        <v>435</v>
      </c>
      <c r="AH41" s="58"/>
      <c r="AK41" s="58"/>
    </row>
    <row r="42" spans="1:37" ht="9.75" customHeight="1">
      <c r="A42" s="154" t="str">
        <f>+C22</f>
        <v>ELCREHYDRRInflex00</v>
      </c>
      <c r="B42" s="83" t="s">
        <v>686</v>
      </c>
      <c r="C42" s="83" t="str">
        <f>$C$13</f>
        <v>ELC</v>
      </c>
      <c r="D42" s="92">
        <f>998.5*('[3]Cap-2017'!E60/('[3]Cap-2017'!$E$60+'[3]Cap-2017'!$E$61+'[3]Cap-2017'!$E$62))/1000</f>
        <v>0.10360642547996891</v>
      </c>
      <c r="E42" s="92"/>
      <c r="F42" s="92"/>
      <c r="G42" s="92">
        <f>+'[3]Cap-2017'!E60/1000-D42-E42</f>
        <v>8.3393574520031086E-2</v>
      </c>
      <c r="H42" s="92"/>
      <c r="I42" s="362">
        <f>+SUM(D42:G42)</f>
        <v>0.187</v>
      </c>
      <c r="J42" s="88"/>
      <c r="K42" s="85"/>
      <c r="L42" s="85"/>
      <c r="M42" s="85"/>
      <c r="N42" s="86">
        <v>1</v>
      </c>
      <c r="O42" s="86"/>
      <c r="P42" s="93">
        <f>+AD43</f>
        <v>2.4176561979802464</v>
      </c>
      <c r="Q42" s="93">
        <v>-1</v>
      </c>
      <c r="R42" s="86"/>
      <c r="S42" s="86">
        <v>6.54</v>
      </c>
      <c r="T42" s="88">
        <f>0.88/3.6</f>
        <v>0.24444444444444444</v>
      </c>
      <c r="U42" s="84">
        <v>100</v>
      </c>
      <c r="V42" s="84">
        <v>31.536000000000001</v>
      </c>
      <c r="W42" s="86">
        <v>0.72199999999999998</v>
      </c>
      <c r="X42" s="349">
        <v>0</v>
      </c>
      <c r="Y42" s="349">
        <v>0</v>
      </c>
      <c r="Z42" s="87">
        <v>5</v>
      </c>
      <c r="AA42" s="56"/>
      <c r="AB42" s="59" t="s">
        <v>137</v>
      </c>
      <c r="AC42" s="342">
        <f>+'[3]Cap-2017'!D72</f>
        <v>87.676776707230786</v>
      </c>
      <c r="AD42" s="342"/>
      <c r="AE42" s="342"/>
      <c r="AF42" s="94">
        <f>+'[3]Cap-2017'!E72</f>
        <v>23.3</v>
      </c>
      <c r="AG42" s="212">
        <f>+'[3]Cap-2017'!F72</f>
        <v>64.400000000000006</v>
      </c>
      <c r="AH42" s="58"/>
      <c r="AK42" s="58"/>
    </row>
    <row r="43" spans="1:37" ht="9.75" customHeight="1">
      <c r="A43" s="154" t="str">
        <f>+C23</f>
        <v>ELCREHYDDAM00</v>
      </c>
      <c r="B43" s="83" t="s">
        <v>686</v>
      </c>
      <c r="C43" s="83" t="str">
        <f t="shared" ref="C43:C51" si="5">$C$13</f>
        <v>ELC</v>
      </c>
      <c r="D43" s="92">
        <f>998.5*('[3]Cap-2017'!E61/('[3]Cap-2017'!$E$60+'[3]Cap-2017'!$E$61+'[3]Cap-2017'!$E$62))/1000</f>
        <v>0.86054278104538884</v>
      </c>
      <c r="E43" s="92"/>
      <c r="F43" s="92"/>
      <c r="G43" s="92">
        <f>+'[3]Cap-2017'!E61/1000-D43-E43</f>
        <v>0.6926572189546113</v>
      </c>
      <c r="H43" s="92"/>
      <c r="I43" s="362">
        <f t="shared" ref="I43:I53" si="6">+SUM(D43:G43)</f>
        <v>1.5532000000000001</v>
      </c>
      <c r="J43" s="88"/>
      <c r="K43" s="85"/>
      <c r="L43" s="85"/>
      <c r="M43" s="85"/>
      <c r="N43" s="86">
        <v>1</v>
      </c>
      <c r="O43" s="86"/>
      <c r="P43" s="93">
        <f t="shared" ref="P43:P44" si="7">+AD44</f>
        <v>20.08076795028299</v>
      </c>
      <c r="Q43" s="93">
        <v>-1</v>
      </c>
      <c r="R43" s="86"/>
      <c r="S43" s="86">
        <v>6.54</v>
      </c>
      <c r="T43" s="86">
        <f>T42</f>
        <v>0.24444444444444444</v>
      </c>
      <c r="U43" s="84">
        <v>100</v>
      </c>
      <c r="V43" s="84">
        <v>31.536000000000001</v>
      </c>
      <c r="W43" s="86">
        <v>0.98</v>
      </c>
      <c r="X43" s="349">
        <v>0</v>
      </c>
      <c r="Y43" s="349">
        <v>0</v>
      </c>
      <c r="Z43" s="87">
        <v>5</v>
      </c>
      <c r="AA43" s="56"/>
      <c r="AD43" s="57">
        <f>+'[3]Cap-2017'!E73</f>
        <v>2.4176561979802464</v>
      </c>
      <c r="AE43" s="57">
        <f>+'[3]Cap-2017'!F73</f>
        <v>0.42656296739455585</v>
      </c>
      <c r="AH43" s="58"/>
      <c r="AK43" s="58"/>
    </row>
    <row r="44" spans="1:37" ht="9.75" customHeight="1">
      <c r="A44" s="154" t="str">
        <f>+C24</f>
        <v>ELCREHYDRRFlex00</v>
      </c>
      <c r="B44" s="83" t="s">
        <v>686</v>
      </c>
      <c r="C44" s="83" t="str">
        <f t="shared" si="5"/>
        <v>ELC</v>
      </c>
      <c r="D44" s="92">
        <f>998.5*('[3]Cap-2017'!E62/('[3]Cap-2017'!$E$60+'[3]Cap-2017'!$E$61+'[3]Cap-2017'!$E$62))/1000</f>
        <v>3.4350793474642101E-2</v>
      </c>
      <c r="E44" s="92"/>
      <c r="F44" s="92"/>
      <c r="G44" s="92">
        <f>+'[3]Cap-2017'!E62/1000-D44-E44</f>
        <v>2.7649206525357899E-2</v>
      </c>
      <c r="H44" s="92"/>
      <c r="I44" s="362">
        <f t="shared" si="6"/>
        <v>6.2E-2</v>
      </c>
      <c r="J44" s="88"/>
      <c r="K44" s="85"/>
      <c r="L44" s="85"/>
      <c r="M44" s="85"/>
      <c r="N44" s="86">
        <v>1</v>
      </c>
      <c r="O44" s="86"/>
      <c r="P44" s="93">
        <f t="shared" si="7"/>
        <v>0.80157585173676626</v>
      </c>
      <c r="Q44" s="93">
        <v>-1</v>
      </c>
      <c r="R44" s="86"/>
      <c r="S44" s="86">
        <v>6.54</v>
      </c>
      <c r="T44" s="86">
        <f>+T43</f>
        <v>0.24444444444444444</v>
      </c>
      <c r="U44" s="84">
        <v>100</v>
      </c>
      <c r="V44" s="84">
        <v>31.536000000000001</v>
      </c>
      <c r="W44" s="86">
        <v>0.83</v>
      </c>
      <c r="X44" s="349">
        <v>0</v>
      </c>
      <c r="Y44" s="349">
        <v>0</v>
      </c>
      <c r="Z44" s="87">
        <v>5</v>
      </c>
      <c r="AA44" s="56"/>
      <c r="AD44" s="57">
        <f>+'[3]Cap-2017'!E74</f>
        <v>20.08076795028299</v>
      </c>
      <c r="AE44" s="57">
        <f>+'[3]Cap-2017'!F74</f>
        <v>61.645228836374521</v>
      </c>
      <c r="AH44" s="58"/>
      <c r="AK44" s="58"/>
    </row>
    <row r="45" spans="1:37" ht="9.75" customHeight="1">
      <c r="A45" s="154" t="str">
        <f>+C25</f>
        <v>ELCTENGACHP00</v>
      </c>
      <c r="B45" s="83" t="s">
        <v>680</v>
      </c>
      <c r="C45" s="83" t="str">
        <f t="shared" si="5"/>
        <v>ELC</v>
      </c>
      <c r="D45" s="92">
        <v>0</v>
      </c>
      <c r="E45" s="92">
        <f>+'[3]Cap-2017'!E63/1000</f>
        <v>0.24099999999999999</v>
      </c>
      <c r="F45" s="92"/>
      <c r="G45" s="92">
        <f>+'[3]Cap-2017'!E63/1000-D45-E45</f>
        <v>0</v>
      </c>
      <c r="H45" s="92"/>
      <c r="I45" s="362">
        <f t="shared" si="6"/>
        <v>0.24099999999999999</v>
      </c>
      <c r="J45" s="88"/>
      <c r="K45" s="85"/>
      <c r="L45" s="85">
        <f>+M45</f>
        <v>0.70159069110446848</v>
      </c>
      <c r="M45" s="88">
        <f>+'EB1'!Q12/('EB1'!$Q$12+'EB1'!$S$12+'EB1'!$X$12)</f>
        <v>0.70159069110446848</v>
      </c>
      <c r="N45" s="343">
        <f>+P45/(-'EB1'!Q12-'EB1'!X12-'EB1'!S12)</f>
        <v>0.26131525930971705</v>
      </c>
      <c r="O45" s="86">
        <f t="shared" ref="O45" si="8">P45/(V45*I45)</f>
        <v>0.75626813672200965</v>
      </c>
      <c r="P45" s="93">
        <f>+AH48</f>
        <v>5.7477709422793364</v>
      </c>
      <c r="Q45" s="93"/>
      <c r="R45" s="86"/>
      <c r="S45" s="86">
        <v>36</v>
      </c>
      <c r="T45" s="86">
        <f>4/3.6</f>
        <v>1.1111111111111112</v>
      </c>
      <c r="U45" s="207">
        <v>25</v>
      </c>
      <c r="V45" s="84">
        <v>31.536000000000001</v>
      </c>
      <c r="W45" s="86">
        <v>0.66</v>
      </c>
      <c r="X45" s="349">
        <v>0</v>
      </c>
      <c r="Y45" s="349">
        <v>0</v>
      </c>
      <c r="Z45" s="87">
        <v>5</v>
      </c>
      <c r="AA45" s="56"/>
      <c r="AD45" s="57">
        <f>+'[3]Cap-2017'!E75</f>
        <v>0.80157585173676626</v>
      </c>
      <c r="AE45" s="57">
        <f>+'[3]Cap-2017'!F75</f>
        <v>2.3282081962309302</v>
      </c>
      <c r="AH45" s="58"/>
      <c r="AK45" s="58"/>
    </row>
    <row r="46" spans="1:37" ht="9.75" customHeight="1">
      <c r="A46" s="154"/>
      <c r="B46" s="83" t="s">
        <v>683</v>
      </c>
      <c r="C46" s="83"/>
      <c r="D46" s="92"/>
      <c r="E46" s="92"/>
      <c r="F46" s="92"/>
      <c r="G46" s="92"/>
      <c r="H46" s="92"/>
      <c r="I46" s="362"/>
      <c r="J46" s="88"/>
      <c r="K46" s="85"/>
      <c r="L46" s="85">
        <f t="shared" ref="L46:L47" si="9">+M46</f>
        <v>0.22093876464923931</v>
      </c>
      <c r="M46" s="88">
        <f>+'EB1'!X12/('EB1'!$Q$12+'EB1'!$S$12+'EB1'!$X$12)</f>
        <v>0.22093876464923931</v>
      </c>
      <c r="N46" s="86"/>
      <c r="O46" s="86"/>
      <c r="P46" s="93"/>
      <c r="Q46" s="93"/>
      <c r="R46" s="86"/>
      <c r="S46" s="86"/>
      <c r="T46" s="86"/>
      <c r="U46" s="207"/>
      <c r="V46" s="84"/>
      <c r="W46" s="86"/>
      <c r="X46" s="349"/>
      <c r="Y46" s="349"/>
      <c r="Z46" s="87"/>
      <c r="AA46" s="56"/>
      <c r="AB46" s="59" t="s">
        <v>138</v>
      </c>
      <c r="AC46" s="342">
        <f>+'[3]Cap-2017'!D76</f>
        <v>26.677705290839999</v>
      </c>
      <c r="AD46" s="57">
        <f>+'[3]Cap-2017'!E76</f>
        <v>26.677705290839999</v>
      </c>
      <c r="AE46" s="57">
        <f>+'[3]Cap-2017'!F76</f>
        <v>0</v>
      </c>
      <c r="AF46" s="94">
        <f>+'[3]Cap-2017'!E76</f>
        <v>26.677705290839999</v>
      </c>
      <c r="AG46" s="212">
        <f>+'[3]Cap-2017'!F76</f>
        <v>0</v>
      </c>
      <c r="AH46" s="58"/>
      <c r="AJ46" s="59"/>
      <c r="AK46" s="58"/>
    </row>
    <row r="47" spans="1:37" ht="9.75" customHeight="1">
      <c r="A47" s="154"/>
      <c r="B47" s="83" t="s">
        <v>687</v>
      </c>
      <c r="C47" s="83"/>
      <c r="D47" s="92"/>
      <c r="E47" s="92"/>
      <c r="F47" s="92"/>
      <c r="G47" s="92"/>
      <c r="H47" s="92"/>
      <c r="I47" s="362"/>
      <c r="J47" s="88"/>
      <c r="K47" s="85"/>
      <c r="L47" s="85">
        <f t="shared" si="9"/>
        <v>7.7470544246292239E-2</v>
      </c>
      <c r="M47" s="88">
        <f>+'EB1'!S12/('EB1'!$Q$12+'EB1'!$S$12+'EB1'!$X$12)</f>
        <v>7.7470544246292239E-2</v>
      </c>
      <c r="N47" s="86"/>
      <c r="O47" s="86"/>
      <c r="P47" s="93"/>
      <c r="Q47" s="93"/>
      <c r="R47" s="86"/>
      <c r="S47" s="86"/>
      <c r="T47" s="86"/>
      <c r="U47" s="207"/>
      <c r="V47" s="84"/>
      <c r="W47" s="86"/>
      <c r="X47" s="349"/>
      <c r="Y47" s="349"/>
      <c r="Z47" s="87"/>
      <c r="AA47" s="56"/>
      <c r="AB47" s="59" t="s">
        <v>142</v>
      </c>
      <c r="AC47" s="342">
        <f>+'[3]Cap-2017'!D77</f>
        <v>0.91067115664800002</v>
      </c>
      <c r="AD47" s="57">
        <f>+'[3]Cap-2017'!E77</f>
        <v>0.91067115664800002</v>
      </c>
      <c r="AE47" s="57">
        <f>+'[3]Cap-2017'!F77</f>
        <v>0</v>
      </c>
      <c r="AF47" s="59"/>
      <c r="AG47" s="59"/>
      <c r="AH47" s="58"/>
      <c r="AJ47" s="59"/>
      <c r="AK47" s="58"/>
    </row>
    <row r="48" spans="1:37" ht="9.75" customHeight="1">
      <c r="A48" s="154" t="str">
        <f t="shared" ref="A48:A53" si="10">+C26</f>
        <v>ELCTECOA00</v>
      </c>
      <c r="B48" s="83" t="s">
        <v>677</v>
      </c>
      <c r="C48" s="83" t="str">
        <f t="shared" si="5"/>
        <v>ELC</v>
      </c>
      <c r="D48" s="92"/>
      <c r="E48" s="92">
        <f>+'[3]Cap-2017'!E64/1000</f>
        <v>0.48</v>
      </c>
      <c r="F48" s="92"/>
      <c r="G48" s="92">
        <f>+'[3]Cap-2017'!E64/1000-D48-E48</f>
        <v>0</v>
      </c>
      <c r="H48" s="92"/>
      <c r="I48" s="362">
        <f t="shared" si="6"/>
        <v>0.48</v>
      </c>
      <c r="J48" s="88"/>
      <c r="K48" s="85"/>
      <c r="L48" s="85"/>
      <c r="M48" s="85"/>
      <c r="N48" s="344">
        <f>-P48/('EB1'!H11+'EB1'!H12)</f>
        <v>0.31698644643867463</v>
      </c>
      <c r="O48" s="86">
        <f>P48/(V48*I48)</f>
        <v>0.41768588208532631</v>
      </c>
      <c r="P48" s="93">
        <f>+AD52</f>
        <v>6.3226281491725684</v>
      </c>
      <c r="Q48" s="93"/>
      <c r="R48" s="88"/>
      <c r="S48" s="86">
        <v>72</v>
      </c>
      <c r="T48" s="88">
        <f>10/3.6</f>
        <v>2.7777777777777777</v>
      </c>
      <c r="U48" s="207">
        <v>30</v>
      </c>
      <c r="V48" s="84">
        <v>31.536000000000001</v>
      </c>
      <c r="W48" s="86">
        <v>0.97</v>
      </c>
      <c r="X48" s="349">
        <v>0</v>
      </c>
      <c r="Y48" s="349">
        <v>0</v>
      </c>
      <c r="Z48" s="87">
        <v>5</v>
      </c>
      <c r="AA48" s="56"/>
      <c r="AB48" s="59" t="s">
        <v>143</v>
      </c>
      <c r="AC48" s="342">
        <f>+'[3]Cap-2017'!D78</f>
        <v>1.2455742102764291</v>
      </c>
      <c r="AD48" s="57">
        <f>+'[3]Cap-2017'!E78</f>
        <v>1.2455742102764291</v>
      </c>
      <c r="AE48" s="57">
        <f>+'[3]Cap-2017'!F78</f>
        <v>0</v>
      </c>
      <c r="AF48" s="94">
        <f>+'[3]Cap-2017'!E78</f>
        <v>1.2455742102764291</v>
      </c>
      <c r="AG48" s="212">
        <f>+'[3]Cap-2017'!F78</f>
        <v>0</v>
      </c>
      <c r="AH48" s="58">
        <f>+AD53-AH53+AD48</f>
        <v>5.7477709422793364</v>
      </c>
      <c r="AK48" s="58"/>
    </row>
    <row r="49" spans="1:37" ht="9.75" customHeight="1">
      <c r="A49" s="154" t="str">
        <f t="shared" si="10"/>
        <v>ELCTENGA00</v>
      </c>
      <c r="B49" s="83" t="s">
        <v>680</v>
      </c>
      <c r="C49" s="83" t="str">
        <f t="shared" si="5"/>
        <v>ELC</v>
      </c>
      <c r="D49" s="92"/>
      <c r="E49" s="92">
        <f>399.1/1000</f>
        <v>0.39910000000000001</v>
      </c>
      <c r="F49" s="92"/>
      <c r="G49" s="92">
        <f>+'[3]Cap-2017'!E65/1000-D49-E49</f>
        <v>0.70789999999999997</v>
      </c>
      <c r="H49" s="92"/>
      <c r="I49" s="362">
        <f t="shared" si="6"/>
        <v>1.107</v>
      </c>
      <c r="J49" s="88"/>
      <c r="K49" s="85"/>
      <c r="L49" s="85"/>
      <c r="M49" s="85"/>
      <c r="N49" s="347">
        <f>-P49/'EB1'!Q11</f>
        <v>0.45511450419573019</v>
      </c>
      <c r="O49" s="86">
        <f t="shared" ref="O49:O53" si="11">P49/(V49*I49)</f>
        <v>0.53508483672693985</v>
      </c>
      <c r="P49" s="93">
        <f>+AH53</f>
        <v>18.68</v>
      </c>
      <c r="Q49" s="93"/>
      <c r="R49" s="88"/>
      <c r="S49" s="86">
        <v>36</v>
      </c>
      <c r="T49" s="86">
        <f>4/3.6</f>
        <v>1.1111111111111112</v>
      </c>
      <c r="U49" s="207">
        <v>25</v>
      </c>
      <c r="V49" s="84">
        <v>31.536000000000001</v>
      </c>
      <c r="W49" s="86">
        <v>0.97</v>
      </c>
      <c r="X49" s="349">
        <v>0</v>
      </c>
      <c r="Y49" s="349">
        <v>0</v>
      </c>
      <c r="Z49" s="87">
        <v>5</v>
      </c>
      <c r="AA49" s="56"/>
      <c r="AB49" s="59" t="s">
        <v>140</v>
      </c>
      <c r="AC49" s="342">
        <f>+'[3]Cap-2017'!D79</f>
        <v>8.4269475529855189</v>
      </c>
      <c r="AD49" s="57">
        <f>+'[3]Cap-2017'!E79</f>
        <v>7.2257995727880324</v>
      </c>
      <c r="AE49" s="57">
        <f>+'[3]Cap-2017'!F79</f>
        <v>1.2011479801974869</v>
      </c>
      <c r="AF49" s="94">
        <f>+'[3]Cap-2017'!E79</f>
        <v>7.2257995727880324</v>
      </c>
      <c r="AG49" s="212">
        <f>+'[3]Cap-2017'!F79</f>
        <v>1.2011479801974869</v>
      </c>
      <c r="AH49" s="58"/>
      <c r="AK49" s="58"/>
    </row>
    <row r="50" spans="1:37" ht="9.75" customHeight="1">
      <c r="A50" s="154" t="str">
        <f t="shared" si="10"/>
        <v>ELCTEDSL00</v>
      </c>
      <c r="B50" s="83" t="s">
        <v>679</v>
      </c>
      <c r="C50" s="83" t="str">
        <f t="shared" si="5"/>
        <v>ELC</v>
      </c>
      <c r="D50" s="92"/>
      <c r="E50" s="92"/>
      <c r="F50" s="92"/>
      <c r="G50" s="92">
        <f>+'[3]Cap-2017'!E66/1000-D50-E50</f>
        <v>0.155</v>
      </c>
      <c r="H50" s="92"/>
      <c r="I50" s="362">
        <f t="shared" si="6"/>
        <v>0.155</v>
      </c>
      <c r="J50" s="88"/>
      <c r="K50" s="85"/>
      <c r="L50" s="85"/>
      <c r="M50" s="85"/>
      <c r="N50" s="344">
        <f>+P50/(-'EB1'!L11)</f>
        <v>0.44854223202352939</v>
      </c>
      <c r="O50" s="346">
        <f t="shared" si="11"/>
        <v>1.4144385579876048E-3</v>
      </c>
      <c r="P50" s="93">
        <f>+AD51</f>
        <v>6.9138888265280517E-3</v>
      </c>
      <c r="Q50" s="93"/>
      <c r="R50" s="88"/>
      <c r="S50" s="86">
        <v>21</v>
      </c>
      <c r="T50" s="86">
        <f>10/3.6</f>
        <v>2.7777777777777777</v>
      </c>
      <c r="U50" s="207">
        <v>30</v>
      </c>
      <c r="V50" s="84">
        <v>31.536000000000001</v>
      </c>
      <c r="W50" s="86">
        <v>0.97</v>
      </c>
      <c r="X50" s="349">
        <v>0</v>
      </c>
      <c r="Y50" s="349">
        <v>0</v>
      </c>
      <c r="Z50" s="87">
        <v>5</v>
      </c>
      <c r="AA50" s="56"/>
      <c r="AB50" s="59" t="s">
        <v>688</v>
      </c>
      <c r="AC50" s="342">
        <f>+'[3]Cap-2017'!D80</f>
        <v>0.12262700015999999</v>
      </c>
      <c r="AD50" s="57">
        <f>+'[3]Cap-2017'!E80</f>
        <v>0.12262700015999999</v>
      </c>
      <c r="AE50" s="57">
        <f>+'[3]Cap-2017'!F80</f>
        <v>0</v>
      </c>
      <c r="AF50" s="94">
        <f>+'[3]Cap-2017'!E80</f>
        <v>0.12262700015999999</v>
      </c>
      <c r="AG50" s="212">
        <f>+'[3]Cap-2017'!F80</f>
        <v>0</v>
      </c>
      <c r="AH50" s="58"/>
      <c r="AK50" s="58"/>
    </row>
    <row r="51" spans="1:37" ht="9.75" customHeight="1">
      <c r="A51" s="154" t="str">
        <f t="shared" si="10"/>
        <v>ELCREWind00</v>
      </c>
      <c r="B51" s="83" t="str">
        <f>$A$2&amp;RIGHT(Sector_Fuels_ELC!D15,3)</f>
        <v>ELCWIN</v>
      </c>
      <c r="C51" s="83" t="str">
        <f t="shared" si="5"/>
        <v>ELC</v>
      </c>
      <c r="D51" s="92"/>
      <c r="E51" s="92"/>
      <c r="F51" s="92">
        <v>0.22</v>
      </c>
      <c r="G51" s="92">
        <f>+'[3]Cap-2017'!E67/1000-D51-E51-F51</f>
        <v>0.34548000000000001</v>
      </c>
      <c r="H51" s="92"/>
      <c r="I51" s="362">
        <f t="shared" si="6"/>
        <v>0.56547999999999998</v>
      </c>
      <c r="J51" s="88"/>
      <c r="K51" s="85"/>
      <c r="L51" s="85"/>
      <c r="M51" s="85"/>
      <c r="N51" s="88">
        <v>1</v>
      </c>
      <c r="O51" s="86">
        <f t="shared" si="11"/>
        <v>0.40519311269980107</v>
      </c>
      <c r="P51" s="93">
        <f>+AD49</f>
        <v>7.2257995727880324</v>
      </c>
      <c r="Q51" s="93"/>
      <c r="R51" s="88"/>
      <c r="S51" s="88">
        <v>61.51</v>
      </c>
      <c r="T51" s="88">
        <f>3/3.6</f>
        <v>0.83333333333333326</v>
      </c>
      <c r="U51" s="207">
        <v>25</v>
      </c>
      <c r="V51" s="84">
        <v>31.536000000000001</v>
      </c>
      <c r="W51" s="86">
        <v>0.25</v>
      </c>
      <c r="X51" s="349">
        <v>0</v>
      </c>
      <c r="Y51" s="349">
        <v>0</v>
      </c>
      <c r="Z51" s="87">
        <v>5</v>
      </c>
      <c r="AA51" s="56"/>
      <c r="AB51" s="59" t="s">
        <v>123</v>
      </c>
      <c r="AC51" s="342">
        <f>+'[3]Cap-2017'!D81</f>
        <v>6.9138888265280517E-3</v>
      </c>
      <c r="AD51" s="57">
        <f>+'[3]Cap-2017'!E81</f>
        <v>6.9138888265280517E-3</v>
      </c>
      <c r="AE51" s="57">
        <f>+'[3]Cap-2017'!F81</f>
        <v>0</v>
      </c>
      <c r="AF51" s="94">
        <f>+'[3]Cap-2017'!E81</f>
        <v>6.9138888265280517E-3</v>
      </c>
      <c r="AG51" s="212">
        <f>+'[3]Cap-2017'!F81</f>
        <v>0</v>
      </c>
      <c r="AH51" s="58"/>
      <c r="AK51" s="58"/>
    </row>
    <row r="52" spans="1:37" ht="9.75" customHeight="1">
      <c r="A52" s="154" t="str">
        <f t="shared" si="10"/>
        <v>ELCREGEO00</v>
      </c>
      <c r="B52" s="83" t="str">
        <f>$A$2&amp;RIGHT(Sector_Fuels_ELC!D13,3)</f>
        <v>ELCGEO</v>
      </c>
      <c r="C52" s="83" t="str">
        <f>$C$13</f>
        <v>ELC</v>
      </c>
      <c r="D52" s="92"/>
      <c r="E52" s="92">
        <v>0.46200000000000002</v>
      </c>
      <c r="F52" s="92"/>
      <c r="G52" s="92">
        <f>+'[3]Cap-2017'!E68/1000-D52-E52</f>
        <v>0.51370000000000005</v>
      </c>
      <c r="H52" s="92"/>
      <c r="I52" s="362">
        <f t="shared" si="6"/>
        <v>0.97570000000000001</v>
      </c>
      <c r="J52" s="86"/>
      <c r="K52" s="93"/>
      <c r="L52" s="93"/>
      <c r="M52" s="93"/>
      <c r="N52" s="344">
        <f>+P52/(-'EB1'!S11)</f>
        <v>0.14941176745614648</v>
      </c>
      <c r="O52" s="86">
        <f t="shared" si="11"/>
        <v>0.86701289881798937</v>
      </c>
      <c r="P52" s="93">
        <f>+AD46</f>
        <v>26.677705290839999</v>
      </c>
      <c r="Q52" s="93">
        <v>-1</v>
      </c>
      <c r="R52" s="88"/>
      <c r="S52" s="88">
        <v>107.64</v>
      </c>
      <c r="T52" s="88">
        <v>0</v>
      </c>
      <c r="U52" s="89">
        <v>40</v>
      </c>
      <c r="V52" s="84">
        <v>31.536000000000001</v>
      </c>
      <c r="W52" s="89">
        <v>0.92300000000000004</v>
      </c>
      <c r="X52" s="350">
        <v>0</v>
      </c>
      <c r="Y52" s="350">
        <v>0</v>
      </c>
      <c r="Z52" s="87">
        <v>5</v>
      </c>
      <c r="AA52" s="58"/>
      <c r="AB52" s="59" t="s">
        <v>122</v>
      </c>
      <c r="AC52" s="342">
        <f>+'[3]Cap-2017'!D82</f>
        <v>6.3226281491725684</v>
      </c>
      <c r="AD52" s="57">
        <f>+'[3]Cap-2017'!E82</f>
        <v>6.3226281491725684</v>
      </c>
      <c r="AE52" s="57">
        <f>+'[3]Cap-2017'!F82</f>
        <v>0</v>
      </c>
      <c r="AF52" s="94">
        <f>+'[3]Cap-2017'!E82</f>
        <v>6.3226281491725684</v>
      </c>
      <c r="AG52" s="212">
        <f>+'[3]Cap-2017'!F82</f>
        <v>0</v>
      </c>
      <c r="AH52" s="59"/>
      <c r="AI52" s="59"/>
      <c r="AJ52" s="59"/>
    </row>
    <row r="53" spans="1:37" ht="9.75" customHeight="1">
      <c r="A53" s="154" t="str">
        <f t="shared" si="10"/>
        <v>ELCREBIG00</v>
      </c>
      <c r="B53" s="83" t="s">
        <v>682</v>
      </c>
      <c r="C53" s="83" t="str">
        <f>$C$13</f>
        <v>ELC</v>
      </c>
      <c r="E53" s="56">
        <v>0.03</v>
      </c>
      <c r="G53" s="56">
        <v>5.0000000000000001E-3</v>
      </c>
      <c r="I53" s="362">
        <f t="shared" si="6"/>
        <v>3.4999999999999996E-2</v>
      </c>
      <c r="K53" s="206"/>
      <c r="L53" s="206"/>
      <c r="M53" s="206"/>
      <c r="N53" s="345">
        <f>+P53/(-'EB1'!W11-'EB1'!W12)</f>
        <v>0.2912044744851236</v>
      </c>
      <c r="O53" s="86">
        <f t="shared" si="11"/>
        <v>0.82506265551206792</v>
      </c>
      <c r="P53" s="206">
        <f>+AD47</f>
        <v>0.91067115664800002</v>
      </c>
      <c r="Q53" s="93"/>
      <c r="R53" s="57"/>
      <c r="S53" s="86">
        <v>36</v>
      </c>
      <c r="T53" s="86">
        <f>4/3.6</f>
        <v>1.1111111111111112</v>
      </c>
      <c r="U53" s="89">
        <v>30</v>
      </c>
      <c r="V53" s="84">
        <v>31.536000000000001</v>
      </c>
      <c r="W53" s="89">
        <v>0.66</v>
      </c>
      <c r="X53" s="350">
        <v>0</v>
      </c>
      <c r="Y53" s="350">
        <v>0</v>
      </c>
      <c r="Z53" s="59">
        <v>5</v>
      </c>
      <c r="AA53" s="59"/>
      <c r="AB53" s="59" t="s">
        <v>191</v>
      </c>
      <c r="AC53" s="342">
        <f>+'[3]Cap-2017'!D83</f>
        <v>23.182196732002907</v>
      </c>
      <c r="AD53" s="57">
        <f>+'[3]Cap-2017'!E83</f>
        <v>23.182196732002907</v>
      </c>
      <c r="AE53" s="57">
        <f>+'[3]Cap-2017'!F83</f>
        <v>0</v>
      </c>
      <c r="AF53" s="94">
        <f>+'[3]Cap-2017'!E83</f>
        <v>23.182196732002907</v>
      </c>
      <c r="AG53" s="212">
        <f>+'[3]Cap-2017'!F83</f>
        <v>0</v>
      </c>
      <c r="AH53" s="59">
        <v>18.68</v>
      </c>
      <c r="AI53" s="59"/>
      <c r="AJ53" s="59"/>
    </row>
    <row r="54" spans="1:37" ht="9.75" customHeight="1">
      <c r="A54" s="351" t="str">
        <f>+C32</f>
        <v>ELCRESOL00</v>
      </c>
      <c r="B54" s="56" t="s">
        <v>696</v>
      </c>
      <c r="C54" s="56" t="s">
        <v>740</v>
      </c>
      <c r="G54" s="56">
        <v>2.4E-2</v>
      </c>
      <c r="I54" s="363"/>
      <c r="N54" s="56">
        <v>1</v>
      </c>
      <c r="Q54" s="93"/>
      <c r="S54" s="56">
        <v>41</v>
      </c>
      <c r="T54" s="352">
        <f>4/3.6</f>
        <v>1.1111111111111112</v>
      </c>
      <c r="U54" s="56">
        <v>20</v>
      </c>
      <c r="V54" s="84">
        <v>31.536000000000001</v>
      </c>
      <c r="W54" s="57">
        <v>0</v>
      </c>
      <c r="X54" s="57">
        <v>0</v>
      </c>
      <c r="Y54" s="57">
        <v>0</v>
      </c>
      <c r="Z54" s="57">
        <v>5</v>
      </c>
      <c r="AB54" s="59" t="s">
        <v>689</v>
      </c>
      <c r="AC54" s="342">
        <f>+'[3]Cap-2017'!D84</f>
        <v>0.1910564847</v>
      </c>
      <c r="AD54" s="57">
        <f>+'[3]Cap-2017'!E84</f>
        <v>0.1910564847</v>
      </c>
      <c r="AE54" s="57">
        <f>+'[3]Cap-2017'!F84</f>
        <v>0</v>
      </c>
      <c r="AF54" s="94">
        <f>+'[3]Cap-2017'!E84</f>
        <v>0.1910564847</v>
      </c>
      <c r="AG54" s="212">
        <f>+'[3]Cap-2017'!F84</f>
        <v>0</v>
      </c>
      <c r="AI54" s="57"/>
      <c r="AK54" s="58"/>
    </row>
    <row r="55" spans="1:37" ht="9.75" customHeight="1">
      <c r="U55" s="56"/>
      <c r="AI55" s="57"/>
      <c r="AK55" s="58"/>
    </row>
    <row r="56" spans="1:37" ht="9.75" customHeight="1"/>
    <row r="57" spans="1:37" ht="9.75" customHeight="1">
      <c r="S57" s="56" t="s">
        <v>730</v>
      </c>
      <c r="W57" s="57" t="s">
        <v>732</v>
      </c>
    </row>
    <row r="58" spans="1:37" ht="9.75" customHeight="1">
      <c r="S58" s="56" t="s">
        <v>731</v>
      </c>
      <c r="W58" s="57" t="s">
        <v>733</v>
      </c>
    </row>
    <row r="59" spans="1:37" ht="9.75" customHeight="1"/>
    <row r="60" spans="1:37" ht="9.75" customHeight="1"/>
    <row r="61" spans="1:37" ht="9.75" customHeight="1"/>
    <row r="62" spans="1:37" ht="9.75" customHeight="1"/>
    <row r="63" spans="1:37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8"/>
      <c r="AJ63" s="168"/>
    </row>
    <row r="64" spans="1:37" ht="9.75" customHeight="1">
      <c r="A64" s="90" t="s">
        <v>395</v>
      </c>
      <c r="C64" s="90" t="s">
        <v>396</v>
      </c>
    </row>
    <row r="65" spans="1:3" ht="9.75" customHeight="1">
      <c r="A65" s="90" t="s">
        <v>398</v>
      </c>
      <c r="C65" s="90" t="s">
        <v>399</v>
      </c>
    </row>
    <row r="66" spans="1:3" ht="9.75" customHeight="1">
      <c r="A66" s="56" t="s">
        <v>433</v>
      </c>
      <c r="C66" s="90" t="s">
        <v>434</v>
      </c>
    </row>
    <row r="67" spans="1:3" ht="9.75" customHeight="1"/>
    <row r="68" spans="1:3" ht="9.75" customHeight="1"/>
    <row r="69" spans="1:3" ht="9.75" customHeight="1"/>
    <row r="70" spans="1:3" ht="9.75" customHeight="1"/>
    <row r="71" spans="1:3" ht="9.75" customHeight="1"/>
    <row r="72" spans="1:3" ht="9.75" customHeight="1"/>
    <row r="73" spans="1:3" ht="9.75" customHeight="1"/>
    <row r="74" spans="1:3" ht="9.75" customHeight="1"/>
    <row r="75" spans="1:3" ht="9.75" customHeight="1"/>
    <row r="76" spans="1:3" ht="9.75" customHeight="1"/>
    <row r="77" spans="1:3" ht="9.75" customHeight="1"/>
    <row r="78" spans="1:3" ht="9.75" customHeight="1"/>
    <row r="79" spans="1:3" ht="9.75" customHeight="1"/>
    <row r="80" spans="1:3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69"/>
    </row>
  </sheetData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D20" sqref="D20"/>
    </sheetView>
  </sheetViews>
  <sheetFormatPr defaultColWidth="9.140625" defaultRowHeight="15" customHeight="1"/>
  <cols>
    <col min="1" max="1" width="9.140625" style="58"/>
    <col min="2" max="2" width="13.42578125" style="57" customWidth="1"/>
    <col min="3" max="4" width="43.7109375" style="57" bestFit="1" customWidth="1"/>
    <col min="5" max="5" width="22.7109375" style="57" customWidth="1"/>
    <col min="6" max="14" width="13.42578125" style="57" customWidth="1"/>
    <col min="15" max="15" width="9.140625" style="58"/>
    <col min="16" max="18" width="10.28515625" style="58" bestFit="1" customWidth="1"/>
    <col min="19" max="24" width="10.28515625" style="58" customWidth="1"/>
    <col min="25" max="25" width="10.28515625" style="58" bestFit="1" customWidth="1"/>
    <col min="26" max="16384" width="9.140625" style="58"/>
  </cols>
  <sheetData>
    <row r="2" spans="2:15" ht="15" customHeight="1">
      <c r="B2" s="5"/>
      <c r="C2" s="202" t="s">
        <v>15</v>
      </c>
      <c r="D2" s="5"/>
      <c r="E2" s="5"/>
      <c r="F2" s="5"/>
      <c r="G2" s="5"/>
      <c r="H2" s="5"/>
      <c r="I2" s="5"/>
    </row>
    <row r="3" spans="2:15" ht="15" customHeight="1">
      <c r="B3" s="200" t="s">
        <v>11</v>
      </c>
      <c r="C3" s="200" t="s">
        <v>1</v>
      </c>
      <c r="D3" s="200" t="s">
        <v>2</v>
      </c>
      <c r="E3" s="200" t="s">
        <v>16</v>
      </c>
      <c r="F3" s="200" t="s">
        <v>17</v>
      </c>
      <c r="G3" s="200" t="s">
        <v>18</v>
      </c>
      <c r="H3" s="200" t="s">
        <v>19</v>
      </c>
      <c r="I3" s="200" t="s">
        <v>20</v>
      </c>
    </row>
    <row r="4" spans="2:15" ht="15" customHeight="1">
      <c r="B4" s="201" t="s">
        <v>36</v>
      </c>
      <c r="C4" s="201" t="s">
        <v>21</v>
      </c>
      <c r="D4" s="201" t="s">
        <v>22</v>
      </c>
      <c r="E4" s="201" t="s">
        <v>23</v>
      </c>
      <c r="F4" s="201" t="s">
        <v>24</v>
      </c>
      <c r="G4" s="201" t="s">
        <v>41</v>
      </c>
      <c r="H4" s="201" t="s">
        <v>40</v>
      </c>
      <c r="I4" s="201" t="s">
        <v>25</v>
      </c>
    </row>
    <row r="5" spans="2:15" ht="15" customHeight="1">
      <c r="B5" s="203" t="s">
        <v>76</v>
      </c>
      <c r="C5" s="204" t="s">
        <v>497</v>
      </c>
      <c r="D5" s="203" t="s">
        <v>507</v>
      </c>
      <c r="E5" s="203" t="s">
        <v>52</v>
      </c>
      <c r="F5" s="203" t="s">
        <v>81</v>
      </c>
      <c r="G5" s="203" t="s">
        <v>96</v>
      </c>
      <c r="H5" s="203"/>
      <c r="I5" s="203"/>
    </row>
    <row r="6" spans="2:15" ht="15" customHeight="1">
      <c r="B6" s="203" t="s">
        <v>76</v>
      </c>
      <c r="C6" s="204" t="s">
        <v>499</v>
      </c>
      <c r="D6" s="203" t="s">
        <v>508</v>
      </c>
      <c r="E6" s="203" t="s">
        <v>52</v>
      </c>
      <c r="F6" s="203" t="s">
        <v>81</v>
      </c>
      <c r="G6" s="203" t="s">
        <v>96</v>
      </c>
      <c r="H6" s="203"/>
      <c r="I6" s="203"/>
    </row>
    <row r="7" spans="2:15" ht="15" customHeight="1">
      <c r="B7" s="203" t="s">
        <v>76</v>
      </c>
      <c r="C7" s="204" t="s">
        <v>500</v>
      </c>
      <c r="D7" s="203" t="s">
        <v>498</v>
      </c>
      <c r="E7" s="203" t="s">
        <v>52</v>
      </c>
      <c r="F7" s="203" t="s">
        <v>81</v>
      </c>
      <c r="G7" s="203" t="s">
        <v>96</v>
      </c>
      <c r="H7" s="203"/>
      <c r="I7" s="203"/>
    </row>
    <row r="8" spans="2:15" ht="15" customHeight="1">
      <c r="B8" s="203" t="s">
        <v>76</v>
      </c>
      <c r="C8" s="204" t="str">
        <f>+B22</f>
        <v>G_ELC2ELCD</v>
      </c>
      <c r="D8" s="204" t="str">
        <f>+C22</f>
        <v>Virtual process for collecting ELCDD from grid and RES</v>
      </c>
      <c r="E8" s="203" t="s">
        <v>52</v>
      </c>
      <c r="F8" s="203" t="s">
        <v>81</v>
      </c>
      <c r="G8" s="203" t="s">
        <v>96</v>
      </c>
      <c r="H8" s="203"/>
      <c r="I8" s="203"/>
      <c r="O8" s="58">
        <v>1700</v>
      </c>
    </row>
    <row r="9" spans="2:15" ht="15" customHeight="1">
      <c r="B9" s="203" t="s">
        <v>76</v>
      </c>
      <c r="C9" s="204" t="s">
        <v>446</v>
      </c>
      <c r="D9" s="203" t="s">
        <v>710</v>
      </c>
      <c r="E9" s="203" t="s">
        <v>52</v>
      </c>
      <c r="F9" s="203" t="s">
        <v>81</v>
      </c>
      <c r="G9" s="203" t="s">
        <v>96</v>
      </c>
      <c r="H9" s="203"/>
      <c r="I9" s="203"/>
      <c r="O9" s="58">
        <v>1500</v>
      </c>
    </row>
    <row r="10" spans="2:15" ht="15" customHeight="1">
      <c r="B10" s="203" t="s">
        <v>76</v>
      </c>
      <c r="C10" s="204" t="s">
        <v>447</v>
      </c>
      <c r="D10" s="203" t="s">
        <v>711</v>
      </c>
      <c r="E10" s="203" t="s">
        <v>52</v>
      </c>
      <c r="F10" s="203" t="s">
        <v>81</v>
      </c>
      <c r="G10" s="203" t="s">
        <v>96</v>
      </c>
      <c r="H10" s="203"/>
      <c r="I10" s="203"/>
      <c r="O10" s="58">
        <v>500</v>
      </c>
    </row>
    <row r="11" spans="2:15" ht="15" customHeight="1">
      <c r="B11" s="203" t="s">
        <v>76</v>
      </c>
      <c r="C11" s="204" t="s">
        <v>448</v>
      </c>
      <c r="D11" s="203" t="s">
        <v>712</v>
      </c>
      <c r="E11" s="203" t="s">
        <v>52</v>
      </c>
      <c r="F11" s="203" t="s">
        <v>81</v>
      </c>
      <c r="G11" s="203" t="s">
        <v>96</v>
      </c>
      <c r="H11" s="203"/>
      <c r="I11" s="203"/>
    </row>
    <row r="12" spans="2:15" ht="15" customHeight="1">
      <c r="B12" s="203" t="s">
        <v>76</v>
      </c>
      <c r="C12" s="204" t="s">
        <v>449</v>
      </c>
      <c r="D12" s="203" t="s">
        <v>713</v>
      </c>
      <c r="E12" s="203" t="s">
        <v>52</v>
      </c>
      <c r="F12" s="203" t="s">
        <v>81</v>
      </c>
      <c r="G12" s="203" t="s">
        <v>96</v>
      </c>
      <c r="H12" s="203"/>
      <c r="I12" s="203"/>
    </row>
    <row r="13" spans="2:15" ht="15" customHeight="1">
      <c r="B13" s="203"/>
      <c r="C13" s="204"/>
      <c r="D13" s="203"/>
      <c r="E13" s="203"/>
      <c r="F13" s="203"/>
      <c r="G13" s="203"/>
      <c r="H13" s="203"/>
      <c r="I13" s="203"/>
    </row>
    <row r="14" spans="2:15" ht="15" customHeight="1">
      <c r="B14" s="203" t="s">
        <v>767</v>
      </c>
      <c r="C14" s="204" t="s">
        <v>769</v>
      </c>
      <c r="D14" s="203" t="s">
        <v>768</v>
      </c>
      <c r="E14" s="203" t="s">
        <v>52</v>
      </c>
      <c r="F14" s="203" t="s">
        <v>52</v>
      </c>
      <c r="G14" s="203"/>
      <c r="H14" s="203"/>
      <c r="I14" s="203"/>
    </row>
    <row r="17" spans="1:27" ht="15" customHeight="1">
      <c r="A17" s="59"/>
      <c r="B17" s="59"/>
      <c r="C17" s="59"/>
      <c r="D17" s="59"/>
      <c r="E17" s="190" t="s">
        <v>13</v>
      </c>
      <c r="F17" s="188"/>
      <c r="G17" s="189"/>
      <c r="H17" s="189"/>
      <c r="I17" s="189"/>
      <c r="J17" s="188"/>
      <c r="K17" s="188"/>
      <c r="L17" s="188"/>
      <c r="M17" s="187"/>
      <c r="N17" s="186"/>
      <c r="O17" s="186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1:27" ht="15" customHeight="1">
      <c r="A18" s="59"/>
      <c r="B18" s="194" t="s">
        <v>1</v>
      </c>
      <c r="C18" s="195" t="s">
        <v>438</v>
      </c>
      <c r="D18" s="194" t="s">
        <v>5</v>
      </c>
      <c r="E18" s="194" t="s">
        <v>6</v>
      </c>
      <c r="F18" s="194" t="s">
        <v>698</v>
      </c>
      <c r="G18" s="194" t="s">
        <v>439</v>
      </c>
      <c r="H18" s="194" t="s">
        <v>114</v>
      </c>
      <c r="I18" s="194" t="s">
        <v>56</v>
      </c>
      <c r="J18" s="194" t="s">
        <v>83</v>
      </c>
      <c r="K18" s="194" t="s">
        <v>440</v>
      </c>
      <c r="L18" s="194" t="s">
        <v>113</v>
      </c>
      <c r="M18" s="196" t="s">
        <v>636</v>
      </c>
      <c r="N18" s="196" t="s">
        <v>746</v>
      </c>
      <c r="O18" s="196" t="s">
        <v>443</v>
      </c>
      <c r="P18" s="196" t="s">
        <v>691</v>
      </c>
      <c r="Q18" s="196" t="s">
        <v>444</v>
      </c>
    </row>
    <row r="19" spans="1:27" ht="15" customHeight="1">
      <c r="A19" s="59"/>
      <c r="B19" s="204" t="str">
        <f t="shared" ref="B19:C21" si="0">C5</f>
        <v>G_ELC_HV-00</v>
      </c>
      <c r="C19" s="204" t="str">
        <f t="shared" si="0"/>
        <v>Existing electricity distribution grid  - 220V voltage</v>
      </c>
      <c r="D19" s="197" t="s">
        <v>44</v>
      </c>
      <c r="E19" s="197" t="s">
        <v>501</v>
      </c>
      <c r="F19" s="198">
        <v>5</v>
      </c>
      <c r="G19" s="192">
        <v>1</v>
      </c>
      <c r="H19" s="192">
        <v>500</v>
      </c>
      <c r="I19" s="193">
        <f>+H19*0.5%</f>
        <v>2.5</v>
      </c>
      <c r="J19" s="193">
        <v>0.44</v>
      </c>
      <c r="K19" s="192">
        <v>80</v>
      </c>
      <c r="L19" s="192">
        <v>31.536000000000001</v>
      </c>
      <c r="M19" s="340">
        <f>(100-2.89)%</f>
        <v>0.97109999999999996</v>
      </c>
      <c r="N19" s="340">
        <f t="shared" ref="N19:P19" si="1">(100-2.89)%</f>
        <v>0.97109999999999996</v>
      </c>
      <c r="O19" s="340">
        <f t="shared" si="1"/>
        <v>0.97109999999999996</v>
      </c>
      <c r="P19" s="340">
        <f t="shared" si="1"/>
        <v>0.97109999999999996</v>
      </c>
      <c r="Q19" s="199">
        <v>5</v>
      </c>
      <c r="Y19" s="385" t="s">
        <v>737</v>
      </c>
      <c r="AA19" s="58">
        <f>'Gen 2015'!AU23</f>
        <v>2.8952234419525841E-2</v>
      </c>
    </row>
    <row r="20" spans="1:27" ht="15" customHeight="1">
      <c r="A20" s="59"/>
      <c r="B20" s="204" t="str">
        <f t="shared" si="0"/>
        <v>G_ELC_MV-00</v>
      </c>
      <c r="C20" s="204" t="str">
        <f t="shared" si="0"/>
        <v>Existing electricity distribution grid  - 65/50V voltage</v>
      </c>
      <c r="D20" s="197" t="str">
        <f>E19</f>
        <v>ELC-HV</v>
      </c>
      <c r="E20" s="197" t="s">
        <v>502</v>
      </c>
      <c r="F20" s="198">
        <v>5</v>
      </c>
      <c r="G20" s="192">
        <v>1</v>
      </c>
      <c r="H20" s="192">
        <v>1500</v>
      </c>
      <c r="I20" s="193">
        <f t="shared" ref="I20:I21" si="2">+H20*0.5%</f>
        <v>7.5</v>
      </c>
      <c r="J20" s="193">
        <v>0.44</v>
      </c>
      <c r="K20" s="192">
        <v>80</v>
      </c>
      <c r="L20" s="192">
        <v>31.536000000000001</v>
      </c>
      <c r="M20" s="340">
        <f>+(100-2)%</f>
        <v>0.98</v>
      </c>
      <c r="N20" s="340">
        <f t="shared" ref="N20:P21" si="3">+(100-2)%</f>
        <v>0.98</v>
      </c>
      <c r="O20" s="340">
        <f t="shared" si="3"/>
        <v>0.98</v>
      </c>
      <c r="P20" s="340">
        <f t="shared" si="3"/>
        <v>0.98</v>
      </c>
      <c r="Q20" s="199">
        <v>5</v>
      </c>
      <c r="AA20" s="58">
        <f>'Gen 2015'!AV25</f>
        <v>2.0106380673275234E-2</v>
      </c>
    </row>
    <row r="21" spans="1:27" ht="15" customHeight="1">
      <c r="A21" s="59"/>
      <c r="B21" s="204" t="str">
        <f t="shared" si="0"/>
        <v>G_ELC_LV-00</v>
      </c>
      <c r="C21" s="204" t="str">
        <f t="shared" si="0"/>
        <v>Existing electricity distribution grid  - Low voltage</v>
      </c>
      <c r="D21" s="197" t="str">
        <f>E20</f>
        <v>ELC-MV</v>
      </c>
      <c r="E21" s="197" t="s">
        <v>740</v>
      </c>
      <c r="F21" s="198">
        <v>5</v>
      </c>
      <c r="G21" s="192">
        <v>1</v>
      </c>
      <c r="H21" s="192">
        <v>1700</v>
      </c>
      <c r="I21" s="193">
        <f t="shared" si="2"/>
        <v>8.5</v>
      </c>
      <c r="J21" s="193">
        <v>0.44</v>
      </c>
      <c r="K21" s="192">
        <v>80</v>
      </c>
      <c r="L21" s="192">
        <v>31.536000000000001</v>
      </c>
      <c r="M21" s="208">
        <f>+(100-2)%</f>
        <v>0.98</v>
      </c>
      <c r="N21" s="208">
        <f t="shared" si="3"/>
        <v>0.98</v>
      </c>
      <c r="O21" s="208">
        <f t="shared" si="3"/>
        <v>0.98</v>
      </c>
      <c r="P21" s="208">
        <f t="shared" si="3"/>
        <v>0.98</v>
      </c>
      <c r="Q21" s="199">
        <v>5</v>
      </c>
      <c r="AA21" s="58">
        <f>'Gen 2015'!AV25</f>
        <v>2.0106380673275234E-2</v>
      </c>
    </row>
    <row r="22" spans="1:27" ht="15" customHeight="1">
      <c r="A22" s="59"/>
      <c r="B22" s="204" t="s">
        <v>739</v>
      </c>
      <c r="C22" s="204" t="s">
        <v>741</v>
      </c>
      <c r="D22" s="197" t="str">
        <f>+E21</f>
        <v>ELCDD</v>
      </c>
      <c r="E22" s="197" t="s">
        <v>503</v>
      </c>
      <c r="F22" s="198"/>
      <c r="G22" s="192">
        <v>1</v>
      </c>
      <c r="H22" s="192"/>
      <c r="I22" s="193"/>
      <c r="J22" s="193"/>
      <c r="K22" s="192">
        <v>80</v>
      </c>
      <c r="L22" s="192">
        <v>31.536000000000001</v>
      </c>
      <c r="M22" s="208">
        <v>1</v>
      </c>
      <c r="N22" s="208">
        <v>1</v>
      </c>
      <c r="O22" s="208">
        <v>1</v>
      </c>
      <c r="P22" s="208">
        <v>1</v>
      </c>
      <c r="Q22" s="199">
        <v>5</v>
      </c>
    </row>
    <row r="23" spans="1:27" ht="15" customHeight="1">
      <c r="A23" s="185"/>
      <c r="B23" s="204" t="str">
        <f t="shared" ref="B23:C26" si="4">C9</f>
        <v>G_ELC_R_00</v>
      </c>
      <c r="C23" s="204" t="str">
        <f t="shared" si="4"/>
        <v>Existing electricity distribution grid  RESELC</v>
      </c>
      <c r="D23" s="197" t="str">
        <f>E22</f>
        <v>ELCD</v>
      </c>
      <c r="E23" s="197" t="s">
        <v>509</v>
      </c>
      <c r="F23" s="198">
        <v>2.2000000000000002</v>
      </c>
      <c r="G23" s="192">
        <v>1</v>
      </c>
      <c r="H23" s="192">
        <v>0.1</v>
      </c>
      <c r="I23" s="193"/>
      <c r="J23" s="193"/>
      <c r="K23" s="192">
        <v>80</v>
      </c>
      <c r="L23" s="192">
        <v>31.536000000000001</v>
      </c>
      <c r="M23" s="208">
        <v>1</v>
      </c>
      <c r="N23" s="208">
        <v>1</v>
      </c>
      <c r="O23" s="208">
        <v>1</v>
      </c>
      <c r="P23" s="208">
        <v>1</v>
      </c>
      <c r="Q23" s="199">
        <v>5</v>
      </c>
    </row>
    <row r="24" spans="1:27" ht="15" customHeight="1">
      <c r="A24" s="185"/>
      <c r="B24" s="204" t="str">
        <f t="shared" si="4"/>
        <v>G_ELC_I_00</v>
      </c>
      <c r="C24" s="204" t="str">
        <f t="shared" si="4"/>
        <v>Existing electricity distribution grid  INDELC</v>
      </c>
      <c r="D24" s="197" t="str">
        <f>D23</f>
        <v>ELCD</v>
      </c>
      <c r="E24" s="197" t="s">
        <v>639</v>
      </c>
      <c r="F24" s="198">
        <v>1.6</v>
      </c>
      <c r="G24" s="192">
        <v>1</v>
      </c>
      <c r="H24" s="192">
        <v>0.1</v>
      </c>
      <c r="I24" s="193"/>
      <c r="J24" s="193"/>
      <c r="K24" s="192">
        <v>80</v>
      </c>
      <c r="L24" s="192">
        <v>31.536000000000001</v>
      </c>
      <c r="M24" s="208">
        <v>1</v>
      </c>
      <c r="N24" s="208">
        <v>1</v>
      </c>
      <c r="O24" s="208">
        <v>1</v>
      </c>
      <c r="P24" s="208">
        <v>1</v>
      </c>
      <c r="Q24" s="199">
        <v>5</v>
      </c>
    </row>
    <row r="25" spans="1:27" ht="15" customHeight="1">
      <c r="A25" s="185"/>
      <c r="B25" s="204" t="str">
        <f t="shared" si="4"/>
        <v>G_ELC_S_00</v>
      </c>
      <c r="C25" s="204" t="str">
        <f t="shared" si="4"/>
        <v>Existing electricity distribution grid  COMELC</v>
      </c>
      <c r="D25" s="197" t="str">
        <f t="shared" ref="D25:D26" si="5">D24</f>
        <v>ELCD</v>
      </c>
      <c r="E25" s="197" t="s">
        <v>637</v>
      </c>
      <c r="F25" s="198">
        <v>0.82</v>
      </c>
      <c r="G25" s="192">
        <v>1</v>
      </c>
      <c r="H25" s="192">
        <v>0.1</v>
      </c>
      <c r="I25" s="193"/>
      <c r="J25" s="193"/>
      <c r="K25" s="192">
        <v>80</v>
      </c>
      <c r="L25" s="192">
        <v>31.536000000000001</v>
      </c>
      <c r="M25" s="208">
        <v>1</v>
      </c>
      <c r="N25" s="208">
        <v>1</v>
      </c>
      <c r="O25" s="208">
        <v>1</v>
      </c>
      <c r="P25" s="208">
        <v>1</v>
      </c>
      <c r="Q25" s="199">
        <v>5</v>
      </c>
    </row>
    <row r="26" spans="1:27" ht="15" customHeight="1">
      <c r="A26" s="185"/>
      <c r="B26" s="204" t="str">
        <f t="shared" si="4"/>
        <v>G_ELC_A_00</v>
      </c>
      <c r="C26" s="204" t="str">
        <f t="shared" si="4"/>
        <v>Existing electricity distribution grid  AGRELC</v>
      </c>
      <c r="D26" s="197" t="str">
        <f t="shared" si="5"/>
        <v>ELCD</v>
      </c>
      <c r="E26" s="197" t="s">
        <v>638</v>
      </c>
      <c r="F26" s="198">
        <v>0.38</v>
      </c>
      <c r="G26" s="192">
        <v>1</v>
      </c>
      <c r="H26" s="192">
        <v>0.1</v>
      </c>
      <c r="I26" s="193"/>
      <c r="J26" s="193"/>
      <c r="K26" s="192">
        <v>80</v>
      </c>
      <c r="L26" s="192">
        <v>31.536000000000001</v>
      </c>
      <c r="M26" s="208">
        <v>1</v>
      </c>
      <c r="N26" s="208">
        <v>1</v>
      </c>
      <c r="O26" s="208">
        <v>1</v>
      </c>
      <c r="P26" s="208">
        <v>1</v>
      </c>
      <c r="Q26" s="199">
        <v>5</v>
      </c>
    </row>
    <row r="27" spans="1:27" ht="15" customHeight="1">
      <c r="A27" s="59"/>
      <c r="B27" s="204"/>
      <c r="C27" s="204"/>
      <c r="D27" s="197"/>
      <c r="E27" s="197"/>
      <c r="F27" s="198"/>
      <c r="G27" s="192"/>
      <c r="H27" s="192"/>
      <c r="I27" s="193"/>
      <c r="J27" s="193"/>
      <c r="K27" s="192"/>
      <c r="L27" s="192"/>
      <c r="M27" s="208"/>
      <c r="N27" s="208"/>
      <c r="O27" s="208"/>
      <c r="P27" s="208"/>
      <c r="Q27" s="199"/>
    </row>
    <row r="28" spans="1:27" ht="15" customHeight="1">
      <c r="A28" s="59"/>
      <c r="B28" s="204" t="str">
        <f>+C14</f>
        <v>P_OWNUSE_ELC</v>
      </c>
      <c r="C28" s="204" t="str">
        <f>+D14</f>
        <v>"Own use in electricity, CHP and heat plants"</v>
      </c>
      <c r="D28" s="197" t="s">
        <v>44</v>
      </c>
      <c r="E28" s="197" t="s">
        <v>770</v>
      </c>
      <c r="F28" s="198"/>
      <c r="G28" s="192"/>
      <c r="H28" s="192"/>
      <c r="I28" s="193"/>
      <c r="J28" s="193"/>
      <c r="K28" s="192">
        <v>100</v>
      </c>
      <c r="L28" s="192"/>
      <c r="M28" s="208">
        <v>1</v>
      </c>
      <c r="N28" s="208">
        <v>1</v>
      </c>
      <c r="O28" s="208">
        <v>1</v>
      </c>
      <c r="P28" s="208">
        <v>1</v>
      </c>
      <c r="Q28" s="199"/>
      <c r="R28" s="184"/>
      <c r="S28" s="184"/>
      <c r="T28" s="184"/>
      <c r="U28" s="184"/>
      <c r="V28" s="184"/>
      <c r="W28" s="184"/>
      <c r="X28" s="184"/>
      <c r="Y28" s="184"/>
    </row>
    <row r="29" spans="1:27" ht="15" customHeight="1">
      <c r="A29" s="59"/>
      <c r="B29" s="183"/>
      <c r="C29" s="183"/>
      <c r="D29" s="183"/>
      <c r="E29" s="183"/>
      <c r="F29" s="182"/>
      <c r="G29" s="59"/>
      <c r="H29" s="59"/>
      <c r="I29" s="59"/>
      <c r="J29" s="56"/>
      <c r="K29" s="59"/>
      <c r="L29" s="181"/>
      <c r="M29" s="181"/>
      <c r="N29" s="59"/>
      <c r="O29" s="59"/>
      <c r="P29" s="180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7" ht="15" customHeight="1">
      <c r="A30" s="59"/>
      <c r="B30" s="147" t="s">
        <v>789</v>
      </c>
      <c r="C30" s="147"/>
      <c r="D30" s="148"/>
      <c r="E30" s="148"/>
      <c r="F30" s="148"/>
      <c r="G30" s="148"/>
      <c r="H30" s="148"/>
      <c r="I30" s="148"/>
      <c r="J30" s="148"/>
      <c r="K30" s="59"/>
      <c r="L30" s="181"/>
      <c r="M30" s="181"/>
      <c r="N30" s="59"/>
      <c r="O30" s="59"/>
      <c r="P30" s="180"/>
      <c r="Q30" s="184"/>
      <c r="R30" s="184"/>
      <c r="S30" s="184"/>
      <c r="T30" s="184"/>
      <c r="U30" s="184"/>
      <c r="V30" s="184"/>
      <c r="W30" s="184"/>
      <c r="X30" s="184"/>
      <c r="Y30" s="184"/>
    </row>
    <row r="31" spans="1:27" ht="15" customHeight="1">
      <c r="A31" s="59"/>
      <c r="B31" s="178" t="s">
        <v>0</v>
      </c>
      <c r="C31" s="179" t="s">
        <v>786</v>
      </c>
      <c r="D31" s="178" t="s">
        <v>781</v>
      </c>
      <c r="E31" s="178" t="s">
        <v>773</v>
      </c>
      <c r="F31" s="178" t="s">
        <v>774</v>
      </c>
      <c r="G31" s="178" t="s">
        <v>775</v>
      </c>
      <c r="H31" s="178" t="s">
        <v>776</v>
      </c>
      <c r="I31" s="178" t="s">
        <v>777</v>
      </c>
      <c r="J31" s="178" t="s">
        <v>778</v>
      </c>
      <c r="K31" s="59"/>
      <c r="L31" s="181"/>
      <c r="M31" s="181"/>
      <c r="N31" s="59"/>
      <c r="O31" s="59"/>
      <c r="P31" s="180"/>
      <c r="Q31" s="184"/>
      <c r="R31" s="184"/>
      <c r="S31" s="184"/>
      <c r="T31" s="184"/>
      <c r="U31" s="184"/>
      <c r="V31" s="184"/>
      <c r="W31" s="184"/>
      <c r="X31" s="184"/>
      <c r="Y31" s="184"/>
    </row>
    <row r="32" spans="1:27" ht="15" customHeight="1">
      <c r="A32" s="59"/>
      <c r="B32" s="204" t="str">
        <f>+D47</f>
        <v>OWNELC</v>
      </c>
      <c r="C32" s="204">
        <v>1.6</v>
      </c>
      <c r="D32" s="197">
        <f>+C32</f>
        <v>1.6</v>
      </c>
      <c r="E32" s="197">
        <f t="shared" ref="E32:J32" si="6">+D32</f>
        <v>1.6</v>
      </c>
      <c r="F32" s="198">
        <f t="shared" si="6"/>
        <v>1.6</v>
      </c>
      <c r="G32" s="204">
        <f t="shared" si="6"/>
        <v>1.6</v>
      </c>
      <c r="H32" s="204">
        <f t="shared" si="6"/>
        <v>1.6</v>
      </c>
      <c r="I32" s="197">
        <f t="shared" si="6"/>
        <v>1.6</v>
      </c>
      <c r="J32" s="197">
        <f t="shared" si="6"/>
        <v>1.6</v>
      </c>
      <c r="K32" s="59"/>
      <c r="L32" s="181"/>
      <c r="M32" s="181"/>
      <c r="N32" s="59"/>
      <c r="O32" s="59"/>
      <c r="P32" s="180"/>
      <c r="Q32" s="184"/>
      <c r="R32" s="184"/>
      <c r="S32" s="184"/>
      <c r="T32" s="184"/>
      <c r="U32" s="184"/>
      <c r="V32" s="184"/>
      <c r="W32" s="184"/>
      <c r="X32" s="184"/>
      <c r="Y32" s="184"/>
    </row>
    <row r="33" spans="1:25" ht="15" customHeight="1">
      <c r="A33" s="59"/>
      <c r="B33" s="183"/>
      <c r="C33" s="183"/>
      <c r="D33" s="183"/>
      <c r="E33" s="183"/>
      <c r="F33" s="183"/>
      <c r="G33" s="183"/>
      <c r="H33" s="183"/>
      <c r="I33" s="183"/>
      <c r="J33" s="183"/>
      <c r="K33" s="59"/>
      <c r="L33" s="181"/>
      <c r="M33" s="181"/>
      <c r="N33" s="59"/>
      <c r="O33" s="59"/>
      <c r="P33" s="180"/>
      <c r="Q33" s="184"/>
      <c r="R33" s="184"/>
      <c r="S33" s="184"/>
      <c r="T33" s="184"/>
      <c r="U33" s="184"/>
      <c r="V33" s="184"/>
      <c r="W33" s="184"/>
      <c r="X33" s="184"/>
      <c r="Y33" s="184"/>
    </row>
    <row r="34" spans="1:25" ht="114.75">
      <c r="A34" s="59"/>
      <c r="B34" s="183"/>
      <c r="C34" s="183"/>
      <c r="D34" s="183"/>
      <c r="E34" s="183"/>
      <c r="F34" s="355" t="s">
        <v>734</v>
      </c>
      <c r="G34" s="59"/>
      <c r="H34" s="356" t="s">
        <v>735</v>
      </c>
      <c r="I34" s="59" t="s">
        <v>736</v>
      </c>
      <c r="J34" s="356" t="s">
        <v>736</v>
      </c>
      <c r="K34" s="59"/>
      <c r="L34" s="181"/>
      <c r="M34" s="58"/>
      <c r="N34" s="59"/>
      <c r="O34" s="59"/>
      <c r="P34" s="180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customHeight="1">
      <c r="B35" s="147" t="s">
        <v>14</v>
      </c>
      <c r="C35" s="147"/>
      <c r="D35" s="148"/>
      <c r="E35" s="148"/>
      <c r="F35" s="148"/>
      <c r="G35" s="148"/>
      <c r="H35" s="148"/>
      <c r="I35" s="148"/>
      <c r="J35" s="148"/>
    </row>
    <row r="36" spans="1:25" ht="15" customHeight="1">
      <c r="B36" s="178" t="s">
        <v>7</v>
      </c>
      <c r="C36" s="179" t="s">
        <v>30</v>
      </c>
      <c r="D36" s="178" t="s">
        <v>0</v>
      </c>
      <c r="E36" s="178" t="s">
        <v>3</v>
      </c>
      <c r="F36" s="178" t="s">
        <v>4</v>
      </c>
      <c r="G36" s="178" t="s">
        <v>8</v>
      </c>
      <c r="H36" s="178" t="s">
        <v>9</v>
      </c>
      <c r="I36" s="178" t="s">
        <v>10</v>
      </c>
      <c r="J36" s="178" t="s">
        <v>12</v>
      </c>
    </row>
    <row r="37" spans="1:25" ht="15" customHeight="1">
      <c r="B37" s="191" t="s">
        <v>35</v>
      </c>
      <c r="C37" s="191" t="s">
        <v>31</v>
      </c>
      <c r="D37" s="191" t="s">
        <v>26</v>
      </c>
      <c r="E37" s="191" t="s">
        <v>27</v>
      </c>
      <c r="F37" s="191" t="s">
        <v>4</v>
      </c>
      <c r="G37" s="191" t="s">
        <v>38</v>
      </c>
      <c r="H37" s="191" t="s">
        <v>39</v>
      </c>
      <c r="I37" s="191" t="s">
        <v>28</v>
      </c>
      <c r="J37" s="191" t="s">
        <v>29</v>
      </c>
    </row>
    <row r="38" spans="1:25" ht="15" customHeight="1">
      <c r="B38" s="205" t="s">
        <v>48</v>
      </c>
      <c r="C38" s="205"/>
      <c r="D38" s="205" t="str">
        <f>E19</f>
        <v>ELC-HV</v>
      </c>
      <c r="E38" s="192" t="s">
        <v>504</v>
      </c>
      <c r="F38" s="205" t="s">
        <v>52</v>
      </c>
      <c r="G38" s="205" t="s">
        <v>697</v>
      </c>
      <c r="H38" s="205" t="s">
        <v>96</v>
      </c>
      <c r="I38" s="205"/>
      <c r="J38" s="205" t="s">
        <v>44</v>
      </c>
    </row>
    <row r="39" spans="1:25" ht="15" customHeight="1">
      <c r="B39" s="205" t="s">
        <v>48</v>
      </c>
      <c r="C39" s="205"/>
      <c r="D39" s="205" t="str">
        <f t="shared" ref="D39:D40" si="7">E20</f>
        <v>ELC-MV</v>
      </c>
      <c r="E39" s="192" t="s">
        <v>505</v>
      </c>
      <c r="F39" s="205" t="s">
        <v>52</v>
      </c>
      <c r="G39" s="205" t="s">
        <v>697</v>
      </c>
      <c r="H39" s="205" t="s">
        <v>96</v>
      </c>
      <c r="I39" s="205"/>
      <c r="J39" s="205" t="s">
        <v>44</v>
      </c>
    </row>
    <row r="40" spans="1:25" ht="15" customHeight="1">
      <c r="B40" s="205" t="s">
        <v>48</v>
      </c>
      <c r="C40" s="205"/>
      <c r="D40" s="205" t="str">
        <f t="shared" si="7"/>
        <v>ELCDD</v>
      </c>
      <c r="E40" s="192" t="s">
        <v>506</v>
      </c>
      <c r="F40" s="205" t="s">
        <v>52</v>
      </c>
      <c r="G40" s="205" t="s">
        <v>697</v>
      </c>
      <c r="H40" s="205" t="s">
        <v>96</v>
      </c>
      <c r="I40" s="205"/>
      <c r="J40" s="205" t="s">
        <v>44</v>
      </c>
    </row>
    <row r="41" spans="1:25" ht="15" customHeight="1">
      <c r="B41" s="205" t="s">
        <v>48</v>
      </c>
      <c r="C41" s="205"/>
      <c r="D41" s="205" t="str">
        <f>E22</f>
        <v>ELCD</v>
      </c>
      <c r="E41" s="192" t="s">
        <v>742</v>
      </c>
      <c r="F41" s="205" t="s">
        <v>52</v>
      </c>
      <c r="G41" s="205" t="s">
        <v>697</v>
      </c>
      <c r="H41" s="205" t="s">
        <v>96</v>
      </c>
      <c r="I41" s="205"/>
      <c r="J41" s="205" t="s">
        <v>44</v>
      </c>
    </row>
    <row r="42" spans="1:25" ht="15" customHeight="1">
      <c r="B42" s="205" t="s">
        <v>48</v>
      </c>
      <c r="C42" s="205"/>
      <c r="D42" s="197" t="s">
        <v>509</v>
      </c>
      <c r="E42" s="192" t="s">
        <v>489</v>
      </c>
      <c r="F42" s="205" t="s">
        <v>52</v>
      </c>
      <c r="G42" s="205" t="s">
        <v>697</v>
      </c>
      <c r="H42" s="205" t="s">
        <v>96</v>
      </c>
      <c r="I42" s="205"/>
      <c r="J42" s="205" t="s">
        <v>44</v>
      </c>
    </row>
    <row r="43" spans="1:25" ht="15" customHeight="1">
      <c r="B43" s="205" t="s">
        <v>48</v>
      </c>
      <c r="C43" s="205"/>
      <c r="D43" s="197" t="s">
        <v>639</v>
      </c>
      <c r="E43" s="192" t="s">
        <v>490</v>
      </c>
      <c r="F43" s="205" t="s">
        <v>52</v>
      </c>
      <c r="G43" s="205" t="s">
        <v>697</v>
      </c>
      <c r="H43" s="205" t="s">
        <v>96</v>
      </c>
      <c r="I43" s="205"/>
      <c r="J43" s="205" t="s">
        <v>44</v>
      </c>
    </row>
    <row r="44" spans="1:25" ht="15" customHeight="1">
      <c r="B44" s="205" t="s">
        <v>48</v>
      </c>
      <c r="C44" s="205"/>
      <c r="D44" s="197" t="s">
        <v>637</v>
      </c>
      <c r="E44" s="192" t="s">
        <v>491</v>
      </c>
      <c r="F44" s="205" t="s">
        <v>52</v>
      </c>
      <c r="G44" s="205" t="s">
        <v>697</v>
      </c>
      <c r="H44" s="205" t="s">
        <v>96</v>
      </c>
      <c r="I44" s="205"/>
      <c r="J44" s="205" t="s">
        <v>44</v>
      </c>
    </row>
    <row r="45" spans="1:25" ht="15" customHeight="1">
      <c r="B45" s="205" t="s">
        <v>48</v>
      </c>
      <c r="C45" s="205"/>
      <c r="D45" s="197" t="s">
        <v>638</v>
      </c>
      <c r="E45" s="192" t="s">
        <v>492</v>
      </c>
      <c r="F45" s="205" t="s">
        <v>52</v>
      </c>
      <c r="G45" s="205" t="s">
        <v>697</v>
      </c>
      <c r="H45" s="205" t="s">
        <v>96</v>
      </c>
      <c r="I45" s="205"/>
      <c r="J45" s="205" t="s">
        <v>44</v>
      </c>
    </row>
    <row r="46" spans="1:25" ht="15" customHeight="1">
      <c r="B46" s="205"/>
      <c r="C46" s="205"/>
      <c r="D46" s="197"/>
      <c r="E46" s="192"/>
      <c r="F46" s="205"/>
      <c r="G46" s="205"/>
      <c r="H46" s="205"/>
      <c r="I46" s="205"/>
      <c r="J46" s="205"/>
    </row>
    <row r="47" spans="1:25" ht="15" customHeight="1">
      <c r="B47" s="205" t="s">
        <v>771</v>
      </c>
      <c r="C47" s="205"/>
      <c r="D47" s="197" t="s">
        <v>770</v>
      </c>
      <c r="E47" s="192" t="s">
        <v>772</v>
      </c>
      <c r="F47" s="205" t="s">
        <v>52</v>
      </c>
      <c r="G47" s="205"/>
      <c r="H47" s="205" t="s">
        <v>96</v>
      </c>
      <c r="I47" s="205"/>
      <c r="J47" s="205"/>
    </row>
    <row r="48" spans="1:25" ht="15" customHeight="1">
      <c r="D48" s="58"/>
      <c r="E48" s="58"/>
      <c r="G48" s="58"/>
      <c r="H48" s="58"/>
      <c r="I48" s="58"/>
      <c r="J48" s="58"/>
      <c r="K48" s="58"/>
      <c r="L48" s="58"/>
      <c r="M48" s="58"/>
      <c r="N48" s="58"/>
    </row>
    <row r="49" spans="2:14" ht="15" customHeight="1">
      <c r="D49" s="58"/>
      <c r="E49" s="58"/>
      <c r="G49" s="58"/>
      <c r="H49" s="58"/>
      <c r="I49" s="58"/>
      <c r="J49" s="58"/>
      <c r="K49" s="58"/>
      <c r="L49" s="58"/>
      <c r="M49" s="58"/>
      <c r="N49" s="58"/>
    </row>
    <row r="50" spans="2:14" ht="15" customHeight="1">
      <c r="D50" s="58"/>
      <c r="E50" s="58"/>
      <c r="G50" s="58"/>
      <c r="H50" s="58"/>
      <c r="I50" s="58"/>
      <c r="J50" s="58"/>
      <c r="K50" s="58"/>
      <c r="L50" s="58"/>
      <c r="M50" s="58"/>
      <c r="N50" s="58"/>
    </row>
    <row r="51" spans="2:14" ht="15" customHeight="1">
      <c r="D51" s="58"/>
      <c r="E51" s="58"/>
      <c r="G51" s="58"/>
      <c r="H51" s="58"/>
      <c r="I51" s="58"/>
      <c r="J51" s="58"/>
      <c r="K51" s="58"/>
      <c r="L51" s="58"/>
      <c r="M51" s="58"/>
      <c r="N51" s="58"/>
    </row>
    <row r="52" spans="2:14" ht="15" customHeight="1">
      <c r="D52" s="58"/>
      <c r="E52" s="58"/>
      <c r="G52" s="58"/>
      <c r="H52" s="58"/>
      <c r="I52" s="58"/>
      <c r="J52" s="58"/>
      <c r="K52" s="58"/>
      <c r="L52" s="58"/>
      <c r="M52" s="58"/>
      <c r="N52" s="58"/>
    </row>
    <row r="53" spans="2:14" ht="15" customHeight="1">
      <c r="D53" s="58"/>
      <c r="E53" s="58"/>
      <c r="G53" s="58"/>
      <c r="H53" s="58"/>
      <c r="I53" s="58"/>
      <c r="J53" s="58"/>
      <c r="K53" s="58"/>
      <c r="L53" s="58"/>
      <c r="M53" s="58"/>
      <c r="N53" s="58"/>
    </row>
    <row r="54" spans="2:14" ht="15" customHeight="1">
      <c r="D54" s="58"/>
      <c r="E54" s="58"/>
      <c r="G54" s="58"/>
      <c r="H54" s="58"/>
      <c r="I54" s="58"/>
      <c r="J54" s="58"/>
      <c r="K54" s="58"/>
      <c r="L54" s="58"/>
      <c r="M54" s="58"/>
      <c r="N54" s="58"/>
    </row>
    <row r="55" spans="2:14" ht="15" customHeight="1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2:14" ht="15" customHeight="1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2:14" ht="15" customHeight="1">
      <c r="B57" s="56"/>
      <c r="C57" s="56"/>
      <c r="D57" s="58"/>
      <c r="E57" s="58"/>
      <c r="F57" s="58"/>
      <c r="G57" s="58"/>
      <c r="H57" s="58"/>
      <c r="I57" s="58"/>
      <c r="J57" s="58"/>
      <c r="K57" s="58"/>
      <c r="L57" s="58"/>
      <c r="M57" s="353"/>
      <c r="N57" s="58"/>
    </row>
    <row r="58" spans="2:14" ht="1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2:14" ht="1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2:14" ht="1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2:14" ht="15" customHeight="1">
      <c r="B61" s="58"/>
      <c r="C61" s="58"/>
      <c r="D61" s="58"/>
      <c r="E61" s="58"/>
      <c r="F61" s="58"/>
      <c r="G61" s="58"/>
      <c r="H61" s="58"/>
      <c r="I61" s="58"/>
      <c r="J61" s="58"/>
      <c r="K61" s="353"/>
      <c r="L61" s="58"/>
      <c r="M61" s="58"/>
      <c r="N61" s="58"/>
    </row>
    <row r="62" spans="2:14" ht="15" customHeight="1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2:14" ht="15" customHeight="1"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353"/>
    </row>
    <row r="64" spans="2:14" ht="15" customHeight="1"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2:14" ht="15" customHeight="1"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2:14" ht="15" customHeight="1"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2:14" ht="15" customHeight="1"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2:14" ht="15" customHeight="1"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2:14" ht="15" customHeight="1"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2:14" ht="15" customHeight="1"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2:14" ht="15" customHeight="1"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2:14" ht="15" customHeight="1"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2:14" ht="15" customHeight="1"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2:14" ht="15" customHeight="1"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2:14" ht="15" customHeight="1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M6" sqref="M6:M8"/>
    </sheetView>
  </sheetViews>
  <sheetFormatPr defaultRowHeight="12.75"/>
  <cols>
    <col min="2" max="2" width="14.42578125" customWidth="1"/>
  </cols>
  <sheetData>
    <row r="3" spans="2:13" ht="17.45" customHeight="1">
      <c r="B3" s="8" t="s">
        <v>108</v>
      </c>
      <c r="C3" s="8"/>
      <c r="D3" s="8"/>
      <c r="E3" s="8"/>
      <c r="F3" s="8"/>
      <c r="G3" s="8"/>
      <c r="H3" s="8"/>
      <c r="I3" s="8"/>
      <c r="J3" s="8"/>
      <c r="K3" s="8"/>
    </row>
    <row r="4" spans="2:13" ht="17.45" customHeight="1">
      <c r="B4" s="9"/>
      <c r="C4" s="9"/>
      <c r="D4" s="9"/>
      <c r="E4" s="9"/>
      <c r="F4" s="9"/>
      <c r="G4" s="9"/>
    </row>
    <row r="5" spans="2:13" ht="18">
      <c r="B5" s="6" t="s">
        <v>104</v>
      </c>
      <c r="C5" s="7"/>
    </row>
    <row r="6" spans="2:13" ht="13.5" thickBot="1">
      <c r="B6" s="10" t="s">
        <v>0</v>
      </c>
      <c r="C6" s="41" t="s">
        <v>677</v>
      </c>
      <c r="D6" s="41" t="s">
        <v>678</v>
      </c>
      <c r="E6" s="41" t="s">
        <v>679</v>
      </c>
      <c r="F6" s="41" t="s">
        <v>680</v>
      </c>
      <c r="G6" s="41" t="s">
        <v>681</v>
      </c>
      <c r="H6" s="41" t="s">
        <v>682</v>
      </c>
      <c r="I6" s="41" t="s">
        <v>683</v>
      </c>
      <c r="L6" s="41" t="s">
        <v>687</v>
      </c>
      <c r="M6" s="41" t="s">
        <v>702</v>
      </c>
    </row>
    <row r="7" spans="2:13" ht="13.5" thickBot="1">
      <c r="B7" s="3" t="s">
        <v>60</v>
      </c>
      <c r="C7" s="39" t="s">
        <v>107</v>
      </c>
      <c r="D7" s="39" t="s">
        <v>107</v>
      </c>
      <c r="E7" s="39" t="s">
        <v>107</v>
      </c>
      <c r="F7" s="39" t="s">
        <v>107</v>
      </c>
      <c r="G7" s="39" t="s">
        <v>107</v>
      </c>
      <c r="H7" s="39" t="s">
        <v>107</v>
      </c>
      <c r="I7" s="39" t="s">
        <v>107</v>
      </c>
      <c r="L7" s="39" t="s">
        <v>107</v>
      </c>
      <c r="M7" s="39" t="s">
        <v>107</v>
      </c>
    </row>
    <row r="8" spans="2:13">
      <c r="B8" s="5" t="str">
        <f>OLD_ELC!$C$14</f>
        <v>ELCCO2</v>
      </c>
      <c r="C8" s="42">
        <f>+H27</f>
        <v>89.1</v>
      </c>
      <c r="D8" s="42">
        <f>+H28</f>
        <v>93.1</v>
      </c>
      <c r="E8" s="42">
        <f>+F23</f>
        <v>69.69</v>
      </c>
      <c r="F8" s="42">
        <f>+D31</f>
        <v>53.96</v>
      </c>
      <c r="G8" s="42">
        <v>0</v>
      </c>
      <c r="H8" s="42">
        <v>0</v>
      </c>
      <c r="I8" s="42">
        <v>0</v>
      </c>
      <c r="L8" s="42">
        <f>-J12/'EB1'!S11</f>
        <v>3.7842848945148093</v>
      </c>
      <c r="M8" s="42">
        <f>+H41/H39</f>
        <v>20.927777777777781</v>
      </c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>
      <c r="I16" s="35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5"/>
  <sheetViews>
    <sheetView workbookViewId="0">
      <selection activeCell="A54" sqref="A54:XFD54"/>
    </sheetView>
  </sheetViews>
  <sheetFormatPr defaultRowHeight="12.75"/>
  <cols>
    <col min="1" max="1" width="12.7109375" style="40" customWidth="1"/>
    <col min="2" max="2" width="17.5703125" style="40" customWidth="1"/>
    <col min="3" max="8" width="12.7109375" style="40" customWidth="1"/>
    <col min="9" max="9" width="12.7109375" style="48" customWidth="1"/>
    <col min="10" max="14" width="12.7109375" style="40" customWidth="1"/>
  </cols>
  <sheetData>
    <row r="1" spans="1:18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166</v>
      </c>
      <c r="H1" s="49" t="s">
        <v>167</v>
      </c>
      <c r="I1" s="49" t="s">
        <v>168</v>
      </c>
      <c r="J1" s="49" t="s">
        <v>169</v>
      </c>
      <c r="K1" s="49" t="s">
        <v>170</v>
      </c>
      <c r="L1" s="49" t="s">
        <v>171</v>
      </c>
      <c r="M1" s="49" t="s">
        <v>172</v>
      </c>
      <c r="N1" s="49" t="s">
        <v>173</v>
      </c>
      <c r="P1" s="142" t="s">
        <v>431</v>
      </c>
      <c r="Q1">
        <v>1000</v>
      </c>
      <c r="R1" s="143" t="s">
        <v>432</v>
      </c>
    </row>
    <row r="2" spans="1:18">
      <c r="A2" s="50" t="s">
        <v>277</v>
      </c>
      <c r="B2" s="51"/>
      <c r="C2" s="50" t="s">
        <v>137</v>
      </c>
      <c r="D2">
        <v>4.4999999999999997E-3</v>
      </c>
      <c r="E2" s="50" t="s">
        <v>137</v>
      </c>
      <c r="F2" s="50">
        <v>0</v>
      </c>
      <c r="G2" s="50" t="s">
        <v>176</v>
      </c>
      <c r="H2" s="50">
        <v>0</v>
      </c>
      <c r="I2" s="50">
        <v>1906</v>
      </c>
      <c r="J2">
        <v>4.4999999999999997E-3</v>
      </c>
      <c r="K2" s="50" t="s">
        <v>278</v>
      </c>
      <c r="L2" s="50">
        <v>21</v>
      </c>
      <c r="M2" s="50" t="s">
        <v>178</v>
      </c>
      <c r="N2" s="51"/>
      <c r="O2">
        <f>+L2/J2/8760</f>
        <v>0.53272450532724513</v>
      </c>
    </row>
    <row r="3" spans="1:18">
      <c r="A3" s="50" t="s">
        <v>367</v>
      </c>
      <c r="B3" s="51"/>
      <c r="C3" s="50" t="s">
        <v>137</v>
      </c>
      <c r="D3">
        <v>4.7000000000000002E-3</v>
      </c>
      <c r="E3" s="50" t="s">
        <v>137</v>
      </c>
      <c r="F3" s="50">
        <v>0</v>
      </c>
      <c r="G3" s="50" t="s">
        <v>176</v>
      </c>
      <c r="H3" s="50">
        <v>0</v>
      </c>
      <c r="I3" s="50">
        <v>1913</v>
      </c>
      <c r="J3">
        <v>4.7000000000000002E-3</v>
      </c>
      <c r="K3" s="50" t="s">
        <v>368</v>
      </c>
      <c r="L3" s="50">
        <v>10.4</v>
      </c>
      <c r="M3" s="50" t="s">
        <v>178</v>
      </c>
      <c r="N3" s="52"/>
      <c r="O3">
        <f t="shared" ref="O3:O66" si="0">+L3/J3/8760</f>
        <v>0.25259885358981832</v>
      </c>
    </row>
    <row r="4" spans="1:18">
      <c r="A4" s="50" t="s">
        <v>261</v>
      </c>
      <c r="B4" s="51"/>
      <c r="C4" s="50" t="s">
        <v>137</v>
      </c>
      <c r="D4">
        <v>9.5E-4</v>
      </c>
      <c r="E4" s="50" t="s">
        <v>137</v>
      </c>
      <c r="F4" s="50">
        <v>0</v>
      </c>
      <c r="G4" s="50" t="s">
        <v>176</v>
      </c>
      <c r="H4" s="50">
        <v>0</v>
      </c>
      <c r="I4" s="50">
        <v>1923</v>
      </c>
      <c r="J4">
        <v>9.5E-4</v>
      </c>
      <c r="K4" s="50" t="s">
        <v>262</v>
      </c>
      <c r="L4" s="50">
        <v>2</v>
      </c>
      <c r="M4" s="50" t="s">
        <v>178</v>
      </c>
      <c r="N4" s="52"/>
      <c r="O4">
        <f t="shared" si="0"/>
        <v>0.24032684450853159</v>
      </c>
    </row>
    <row r="5" spans="1:18">
      <c r="A5" s="50" t="s">
        <v>269</v>
      </c>
      <c r="B5" s="51"/>
      <c r="C5" s="50" t="s">
        <v>137</v>
      </c>
      <c r="D5">
        <v>4.2000000000000003E-2</v>
      </c>
      <c r="E5" s="50" t="s">
        <v>137</v>
      </c>
      <c r="F5" s="50">
        <v>2.2989999999999999</v>
      </c>
      <c r="G5" s="50" t="s">
        <v>176</v>
      </c>
      <c r="H5" s="50">
        <v>0</v>
      </c>
      <c r="I5" s="50">
        <v>1924</v>
      </c>
      <c r="J5">
        <v>4.2000000000000003E-2</v>
      </c>
      <c r="K5" s="50" t="s">
        <v>260</v>
      </c>
      <c r="L5" s="50">
        <v>136</v>
      </c>
      <c r="M5" s="50" t="s">
        <v>178</v>
      </c>
      <c r="N5" s="52"/>
      <c r="O5">
        <f t="shared" si="0"/>
        <v>0.36964557512502716</v>
      </c>
    </row>
    <row r="6" spans="1:18">
      <c r="A6" s="50" t="s">
        <v>320</v>
      </c>
      <c r="B6" s="51"/>
      <c r="C6" s="50" t="s">
        <v>137</v>
      </c>
      <c r="D6">
        <v>1.8E-3</v>
      </c>
      <c r="E6" s="50" t="s">
        <v>137</v>
      </c>
      <c r="F6" s="50">
        <v>0</v>
      </c>
      <c r="G6" s="50" t="s">
        <v>176</v>
      </c>
      <c r="H6" s="50">
        <v>0</v>
      </c>
      <c r="I6" s="50">
        <v>1924</v>
      </c>
      <c r="J6">
        <v>1.8E-3</v>
      </c>
      <c r="K6" s="50" t="s">
        <v>321</v>
      </c>
      <c r="L6" s="50">
        <v>7</v>
      </c>
      <c r="M6" s="50" t="s">
        <v>178</v>
      </c>
      <c r="N6" s="52"/>
      <c r="O6">
        <f t="shared" si="0"/>
        <v>0.44393708777270424</v>
      </c>
    </row>
    <row r="7" spans="1:18">
      <c r="A7" s="50" t="s">
        <v>298</v>
      </c>
      <c r="B7" s="51"/>
      <c r="C7" s="50" t="s">
        <v>137</v>
      </c>
      <c r="D7">
        <v>4.4999999999999997E-3</v>
      </c>
      <c r="E7" s="50" t="s">
        <v>137</v>
      </c>
      <c r="F7" s="50">
        <v>0</v>
      </c>
      <c r="G7" s="50" t="s">
        <v>176</v>
      </c>
      <c r="H7" s="50">
        <v>0</v>
      </c>
      <c r="I7" s="50">
        <v>1927</v>
      </c>
      <c r="J7">
        <v>4.7999999999999996E-3</v>
      </c>
      <c r="K7" s="50" t="s">
        <v>299</v>
      </c>
      <c r="L7" s="50">
        <v>26</v>
      </c>
      <c r="M7" s="50" t="s">
        <v>178</v>
      </c>
      <c r="N7" s="51"/>
      <c r="O7">
        <f t="shared" si="0"/>
        <v>0.61834094368340942</v>
      </c>
    </row>
    <row r="8" spans="1:18">
      <c r="A8" s="50" t="s">
        <v>364</v>
      </c>
      <c r="B8" s="50" t="s">
        <v>240</v>
      </c>
      <c r="C8" s="50" t="s">
        <v>137</v>
      </c>
      <c r="D8">
        <v>0.06</v>
      </c>
      <c r="E8" s="50" t="s">
        <v>137</v>
      </c>
      <c r="F8" s="50">
        <v>1.587</v>
      </c>
      <c r="G8" s="50" t="s">
        <v>176</v>
      </c>
      <c r="H8" s="50">
        <v>0</v>
      </c>
      <c r="I8" s="50">
        <v>1929</v>
      </c>
      <c r="J8">
        <v>0.06</v>
      </c>
      <c r="K8" s="50" t="s">
        <v>365</v>
      </c>
      <c r="L8" s="50">
        <v>218</v>
      </c>
      <c r="M8" s="50" t="s">
        <v>178</v>
      </c>
      <c r="N8" s="52"/>
      <c r="O8">
        <f t="shared" si="0"/>
        <v>0.4147640791476408</v>
      </c>
    </row>
    <row r="9" spans="1:18">
      <c r="A9" s="50" t="s">
        <v>218</v>
      </c>
      <c r="B9" s="50" t="s">
        <v>219</v>
      </c>
      <c r="C9" s="50" t="s">
        <v>137</v>
      </c>
      <c r="D9">
        <v>2.3999999999999998E-3</v>
      </c>
      <c r="E9" s="50" t="s">
        <v>137</v>
      </c>
      <c r="F9" s="50">
        <v>0</v>
      </c>
      <c r="G9" s="50" t="s">
        <v>176</v>
      </c>
      <c r="H9" s="50">
        <v>0</v>
      </c>
      <c r="I9" s="50">
        <v>1939</v>
      </c>
      <c r="J9">
        <v>2.3999999999999998E-3</v>
      </c>
      <c r="K9" s="50" t="s">
        <v>220</v>
      </c>
      <c r="L9" s="50">
        <v>10</v>
      </c>
      <c r="M9" s="50" t="s">
        <v>178</v>
      </c>
      <c r="N9" s="52"/>
      <c r="O9">
        <f t="shared" si="0"/>
        <v>0.47564687975646885</v>
      </c>
    </row>
    <row r="10" spans="1:18">
      <c r="A10" s="50" t="s">
        <v>322</v>
      </c>
      <c r="B10" s="50" t="s">
        <v>240</v>
      </c>
      <c r="C10" s="50" t="s">
        <v>137</v>
      </c>
      <c r="D10">
        <v>4.2000000000000003E-2</v>
      </c>
      <c r="E10" s="50" t="s">
        <v>137</v>
      </c>
      <c r="F10" s="50">
        <v>0.94199999999999995</v>
      </c>
      <c r="G10" s="50" t="s">
        <v>176</v>
      </c>
      <c r="H10" s="50">
        <v>0</v>
      </c>
      <c r="I10" s="50">
        <v>1943</v>
      </c>
      <c r="J10">
        <v>4.2000000000000003E-2</v>
      </c>
      <c r="K10" s="50" t="s">
        <v>189</v>
      </c>
      <c r="L10" s="50">
        <v>133</v>
      </c>
      <c r="M10" s="50" t="s">
        <v>178</v>
      </c>
      <c r="N10" s="52"/>
      <c r="O10">
        <f t="shared" si="0"/>
        <v>0.36149162861491629</v>
      </c>
    </row>
    <row r="11" spans="1:18">
      <c r="A11" s="50" t="s">
        <v>181</v>
      </c>
      <c r="B11" s="50" t="s">
        <v>182</v>
      </c>
      <c r="C11" s="50" t="s">
        <v>137</v>
      </c>
      <c r="D11">
        <v>0.19669999999999999</v>
      </c>
      <c r="E11" s="50" t="s">
        <v>137</v>
      </c>
      <c r="F11" s="50">
        <v>0.46300000000000002</v>
      </c>
      <c r="G11" s="50" t="s">
        <v>176</v>
      </c>
      <c r="H11" s="50">
        <v>0</v>
      </c>
      <c r="I11" s="50">
        <v>1946</v>
      </c>
      <c r="J11">
        <v>0.19669999999999999</v>
      </c>
      <c r="K11" s="50" t="s">
        <v>183</v>
      </c>
      <c r="L11" s="50">
        <v>805</v>
      </c>
      <c r="M11" s="50" t="s">
        <v>178</v>
      </c>
      <c r="N11" s="51"/>
      <c r="O11">
        <f t="shared" si="0"/>
        <v>0.46718341214514375</v>
      </c>
    </row>
    <row r="12" spans="1:18">
      <c r="A12" s="50" t="s">
        <v>239</v>
      </c>
      <c r="B12" s="50" t="s">
        <v>240</v>
      </c>
      <c r="C12" s="50" t="s">
        <v>137</v>
      </c>
      <c r="D12">
        <v>3.5999999999999997E-2</v>
      </c>
      <c r="E12" s="50" t="s">
        <v>137</v>
      </c>
      <c r="F12" s="50">
        <v>1.006</v>
      </c>
      <c r="G12" s="50" t="s">
        <v>176</v>
      </c>
      <c r="H12" s="50">
        <v>0</v>
      </c>
      <c r="I12" s="50">
        <v>1948</v>
      </c>
      <c r="J12">
        <v>3.5999999999999997E-2</v>
      </c>
      <c r="K12" s="50" t="s">
        <v>241</v>
      </c>
      <c r="L12" s="50">
        <v>91</v>
      </c>
      <c r="M12" s="50" t="s">
        <v>178</v>
      </c>
      <c r="N12" s="52"/>
      <c r="O12">
        <f t="shared" si="0"/>
        <v>0.28855910705225774</v>
      </c>
    </row>
    <row r="13" spans="1:18">
      <c r="A13" s="50" t="s">
        <v>244</v>
      </c>
      <c r="B13" s="50" t="s">
        <v>182</v>
      </c>
      <c r="C13" s="50" t="s">
        <v>137</v>
      </c>
      <c r="D13">
        <v>0.09</v>
      </c>
      <c r="E13" s="50" t="s">
        <v>137</v>
      </c>
      <c r="F13" s="50">
        <v>0.26500000000000001</v>
      </c>
      <c r="G13" s="50" t="s">
        <v>176</v>
      </c>
      <c r="H13" s="50">
        <v>0</v>
      </c>
      <c r="I13" s="50">
        <v>1948</v>
      </c>
      <c r="J13">
        <v>0.09</v>
      </c>
      <c r="K13" s="50" t="s">
        <v>185</v>
      </c>
      <c r="L13" s="50">
        <v>525</v>
      </c>
      <c r="M13" s="50" t="s">
        <v>178</v>
      </c>
      <c r="N13" s="52"/>
      <c r="O13">
        <f t="shared" si="0"/>
        <v>0.66590563165905636</v>
      </c>
    </row>
    <row r="14" spans="1:18">
      <c r="A14" s="50" t="s">
        <v>388</v>
      </c>
      <c r="B14" s="50" t="s">
        <v>182</v>
      </c>
      <c r="C14" s="50" t="s">
        <v>137</v>
      </c>
      <c r="D14">
        <v>0.1</v>
      </c>
      <c r="E14" s="50" t="s">
        <v>137</v>
      </c>
      <c r="F14" s="50">
        <v>0.315</v>
      </c>
      <c r="G14" s="50" t="s">
        <v>176</v>
      </c>
      <c r="H14" s="50">
        <v>0</v>
      </c>
      <c r="I14" s="50">
        <v>1956</v>
      </c>
      <c r="J14">
        <v>0.1</v>
      </c>
      <c r="K14" s="50" t="s">
        <v>252</v>
      </c>
      <c r="L14" s="50">
        <v>494</v>
      </c>
      <c r="M14" s="50" t="s">
        <v>178</v>
      </c>
      <c r="N14" s="52"/>
      <c r="O14">
        <f t="shared" si="0"/>
        <v>0.5639269406392694</v>
      </c>
    </row>
    <row r="15" spans="1:18">
      <c r="A15" s="50" t="s">
        <v>371</v>
      </c>
      <c r="B15" s="51"/>
      <c r="C15" s="50" t="s">
        <v>138</v>
      </c>
      <c r="D15">
        <v>0.161</v>
      </c>
      <c r="E15" s="50" t="s">
        <v>138</v>
      </c>
      <c r="F15" s="50">
        <v>0</v>
      </c>
      <c r="G15" s="50" t="s">
        <v>176</v>
      </c>
      <c r="H15" s="50">
        <v>0</v>
      </c>
      <c r="I15" s="50">
        <v>1958</v>
      </c>
      <c r="J15">
        <v>0.17499999999999999</v>
      </c>
      <c r="K15" s="50" t="s">
        <v>185</v>
      </c>
      <c r="L15" s="50">
        <v>1310</v>
      </c>
      <c r="M15" s="50" t="s">
        <v>178</v>
      </c>
      <c r="N15" s="52"/>
      <c r="O15">
        <f t="shared" si="0"/>
        <v>0.85453359425962172</v>
      </c>
    </row>
    <row r="16" spans="1:18">
      <c r="A16" s="50" t="s">
        <v>369</v>
      </c>
      <c r="B16" s="50" t="s">
        <v>182</v>
      </c>
      <c r="C16" s="50" t="s">
        <v>137</v>
      </c>
      <c r="D16">
        <v>5.0999999999999997E-2</v>
      </c>
      <c r="E16" s="50" t="s">
        <v>137</v>
      </c>
      <c r="F16" s="50">
        <v>0.14299999999999999</v>
      </c>
      <c r="G16" s="50" t="s">
        <v>176</v>
      </c>
      <c r="H16" s="50">
        <v>0</v>
      </c>
      <c r="I16" s="50">
        <v>1961</v>
      </c>
      <c r="J16">
        <v>5.0999999999999997E-2</v>
      </c>
      <c r="K16" s="50" t="s">
        <v>370</v>
      </c>
      <c r="L16" s="50">
        <v>242</v>
      </c>
      <c r="M16" s="50" t="s">
        <v>178</v>
      </c>
      <c r="N16" s="52"/>
      <c r="O16">
        <f t="shared" si="0"/>
        <v>0.54167785835795501</v>
      </c>
    </row>
    <row r="17" spans="1:15">
      <c r="A17" s="50" t="s">
        <v>188</v>
      </c>
      <c r="B17" s="50" t="s">
        <v>182</v>
      </c>
      <c r="C17" s="50" t="s">
        <v>137</v>
      </c>
      <c r="D17">
        <v>8.4000000000000005E-2</v>
      </c>
      <c r="E17" s="50" t="s">
        <v>137</v>
      </c>
      <c r="F17" s="50">
        <v>0.20399999999999999</v>
      </c>
      <c r="G17" s="50" t="s">
        <v>176</v>
      </c>
      <c r="H17" s="50">
        <v>0</v>
      </c>
      <c r="I17" s="50">
        <v>1962</v>
      </c>
      <c r="J17">
        <v>8.4000000000000005E-2</v>
      </c>
      <c r="K17" s="50" t="s">
        <v>189</v>
      </c>
      <c r="L17" s="50">
        <v>289</v>
      </c>
      <c r="M17" s="50" t="s">
        <v>178</v>
      </c>
      <c r="N17" s="51"/>
      <c r="O17">
        <f t="shared" si="0"/>
        <v>0.39274842357034134</v>
      </c>
    </row>
    <row r="18" spans="1:15">
      <c r="A18" s="50" t="s">
        <v>199</v>
      </c>
      <c r="B18" s="51"/>
      <c r="C18" s="50" t="s">
        <v>137</v>
      </c>
      <c r="D18">
        <v>1E-4</v>
      </c>
      <c r="E18" s="50" t="s">
        <v>137</v>
      </c>
      <c r="F18" s="50">
        <v>0</v>
      </c>
      <c r="G18" s="50" t="s">
        <v>176</v>
      </c>
      <c r="H18" s="50">
        <v>0</v>
      </c>
      <c r="I18" s="50">
        <v>1962</v>
      </c>
      <c r="J18">
        <v>1E-4</v>
      </c>
      <c r="K18" s="50" t="s">
        <v>187</v>
      </c>
      <c r="L18" s="50">
        <v>0.3</v>
      </c>
      <c r="M18" s="50" t="s">
        <v>178</v>
      </c>
      <c r="N18" s="51"/>
      <c r="O18">
        <f t="shared" si="0"/>
        <v>0.34246575342465746</v>
      </c>
    </row>
    <row r="19" spans="1:15">
      <c r="A19" s="50" t="s">
        <v>263</v>
      </c>
      <c r="B19" s="51"/>
      <c r="C19" s="50" t="s">
        <v>137</v>
      </c>
      <c r="D19">
        <v>6.0000000000000001E-3</v>
      </c>
      <c r="E19" s="50" t="s">
        <v>137</v>
      </c>
      <c r="F19" s="50">
        <v>0</v>
      </c>
      <c r="G19" s="50" t="s">
        <v>176</v>
      </c>
      <c r="H19" s="50">
        <v>0</v>
      </c>
      <c r="I19" s="50">
        <v>1962</v>
      </c>
      <c r="J19">
        <v>6.0000000000000001E-3</v>
      </c>
      <c r="K19" s="50" t="s">
        <v>264</v>
      </c>
      <c r="L19" s="50">
        <v>30</v>
      </c>
      <c r="M19" s="50" t="s">
        <v>178</v>
      </c>
      <c r="N19" s="52"/>
      <c r="O19">
        <f t="shared" si="0"/>
        <v>0.57077625570776258</v>
      </c>
    </row>
    <row r="20" spans="1:15">
      <c r="A20" s="50" t="s">
        <v>274</v>
      </c>
      <c r="B20" s="51"/>
      <c r="C20" s="50" t="s">
        <v>137</v>
      </c>
      <c r="D20">
        <v>5.9999999999999995E-4</v>
      </c>
      <c r="E20" s="50" t="s">
        <v>137</v>
      </c>
      <c r="F20" s="50">
        <v>0</v>
      </c>
      <c r="G20" s="50" t="s">
        <v>176</v>
      </c>
      <c r="H20" s="50">
        <v>0</v>
      </c>
      <c r="I20" s="50">
        <v>1962</v>
      </c>
      <c r="J20">
        <v>5.9999999999999995E-4</v>
      </c>
      <c r="K20" s="50" t="s">
        <v>217</v>
      </c>
      <c r="L20" s="50">
        <v>5</v>
      </c>
      <c r="M20" s="50" t="s">
        <v>178</v>
      </c>
      <c r="N20" s="52"/>
      <c r="O20">
        <f t="shared" si="0"/>
        <v>0.95129375951293771</v>
      </c>
    </row>
    <row r="21" spans="1:15">
      <c r="A21" s="50" t="s">
        <v>275</v>
      </c>
      <c r="B21" s="51"/>
      <c r="C21" s="50" t="s">
        <v>137</v>
      </c>
      <c r="D21">
        <v>2.0000000000000001E-4</v>
      </c>
      <c r="E21" s="50" t="s">
        <v>137</v>
      </c>
      <c r="F21" s="50">
        <v>0</v>
      </c>
      <c r="G21" s="50" t="s">
        <v>176</v>
      </c>
      <c r="H21" s="50">
        <v>0</v>
      </c>
      <c r="I21" s="50">
        <v>1962</v>
      </c>
      <c r="J21">
        <v>2.0000000000000001E-4</v>
      </c>
      <c r="K21" s="50" t="s">
        <v>276</v>
      </c>
      <c r="L21" s="50">
        <v>0.3</v>
      </c>
      <c r="M21" s="50" t="s">
        <v>178</v>
      </c>
      <c r="N21" s="51"/>
      <c r="O21">
        <f t="shared" si="0"/>
        <v>0.17123287671232873</v>
      </c>
    </row>
    <row r="22" spans="1:15">
      <c r="A22" s="50" t="s">
        <v>283</v>
      </c>
      <c r="B22" s="51"/>
      <c r="C22" s="50" t="s">
        <v>137</v>
      </c>
      <c r="D22">
        <v>1E-4</v>
      </c>
      <c r="E22" s="50" t="s">
        <v>137</v>
      </c>
      <c r="F22" s="50">
        <v>0</v>
      </c>
      <c r="G22" s="50" t="s">
        <v>176</v>
      </c>
      <c r="H22" s="50">
        <v>0</v>
      </c>
      <c r="I22" s="50">
        <v>1962</v>
      </c>
      <c r="J22">
        <v>1E-4</v>
      </c>
      <c r="K22" s="50" t="s">
        <v>187</v>
      </c>
      <c r="L22" s="50">
        <v>0</v>
      </c>
      <c r="M22" s="50" t="s">
        <v>178</v>
      </c>
      <c r="N22" s="51"/>
    </row>
    <row r="23" spans="1:15">
      <c r="A23" s="50" t="s">
        <v>284</v>
      </c>
      <c r="B23" s="51"/>
      <c r="C23" s="50" t="s">
        <v>137</v>
      </c>
      <c r="D23">
        <v>1E-4</v>
      </c>
      <c r="E23" s="50" t="s">
        <v>137</v>
      </c>
      <c r="F23" s="50">
        <v>0</v>
      </c>
      <c r="G23" s="50" t="s">
        <v>176</v>
      </c>
      <c r="H23" s="50">
        <v>0</v>
      </c>
      <c r="I23" s="50">
        <v>1962</v>
      </c>
      <c r="J23">
        <v>1E-4</v>
      </c>
      <c r="K23" s="50" t="s">
        <v>187</v>
      </c>
      <c r="L23" s="50">
        <v>0.6</v>
      </c>
      <c r="M23" s="50" t="s">
        <v>178</v>
      </c>
      <c r="N23" s="51"/>
      <c r="O23">
        <f t="shared" si="0"/>
        <v>0.68493150684931492</v>
      </c>
    </row>
    <row r="24" spans="1:15">
      <c r="A24" s="50" t="s">
        <v>307</v>
      </c>
      <c r="B24" s="50" t="s">
        <v>182</v>
      </c>
      <c r="C24" s="50" t="s">
        <v>137</v>
      </c>
      <c r="D24">
        <v>0.112</v>
      </c>
      <c r="E24" s="50" t="s">
        <v>137</v>
      </c>
      <c r="F24" s="50">
        <v>0.27800000000000002</v>
      </c>
      <c r="G24" s="50" t="s">
        <v>176</v>
      </c>
      <c r="H24" s="50">
        <v>0</v>
      </c>
      <c r="I24" s="50">
        <v>1962</v>
      </c>
      <c r="J24">
        <v>0.112</v>
      </c>
      <c r="K24" s="50" t="s">
        <v>258</v>
      </c>
      <c r="L24" s="50">
        <v>400</v>
      </c>
      <c r="M24" s="50" t="s">
        <v>178</v>
      </c>
      <c r="N24" s="52"/>
      <c r="O24">
        <f t="shared" si="0"/>
        <v>0.40769732550554472</v>
      </c>
    </row>
    <row r="25" spans="1:15">
      <c r="A25" s="50" t="s">
        <v>308</v>
      </c>
      <c r="B25" s="51"/>
      <c r="C25" s="50" t="s">
        <v>137</v>
      </c>
      <c r="D25">
        <v>2.9999999999999997E-4</v>
      </c>
      <c r="E25" s="50" t="s">
        <v>137</v>
      </c>
      <c r="F25" s="50">
        <v>0</v>
      </c>
      <c r="G25" s="50" t="s">
        <v>176</v>
      </c>
      <c r="H25" s="50">
        <v>0</v>
      </c>
      <c r="I25" s="50">
        <v>1962</v>
      </c>
      <c r="J25">
        <v>2.9999999999999997E-4</v>
      </c>
      <c r="K25" s="50" t="s">
        <v>206</v>
      </c>
      <c r="L25" s="50">
        <v>1.2</v>
      </c>
      <c r="M25" s="50" t="s">
        <v>178</v>
      </c>
      <c r="N25" s="52"/>
      <c r="O25">
        <f t="shared" si="0"/>
        <v>0.45662100456621002</v>
      </c>
    </row>
    <row r="26" spans="1:15">
      <c r="A26" s="50" t="s">
        <v>311</v>
      </c>
      <c r="B26" s="51"/>
      <c r="C26" s="50" t="s">
        <v>137</v>
      </c>
      <c r="D26">
        <v>0</v>
      </c>
      <c r="E26" s="50" t="s">
        <v>137</v>
      </c>
      <c r="F26" s="50">
        <v>0</v>
      </c>
      <c r="G26" s="50" t="s">
        <v>176</v>
      </c>
      <c r="H26" s="50">
        <v>0</v>
      </c>
      <c r="I26" s="50">
        <v>1962</v>
      </c>
      <c r="J26">
        <v>0</v>
      </c>
      <c r="K26" s="50" t="s">
        <v>312</v>
      </c>
      <c r="L26" s="50">
        <v>0</v>
      </c>
      <c r="M26" s="50" t="s">
        <v>178</v>
      </c>
      <c r="N26" s="52"/>
    </row>
    <row r="27" spans="1:15">
      <c r="A27" s="50" t="s">
        <v>328</v>
      </c>
      <c r="B27" s="51"/>
      <c r="C27" s="50" t="s">
        <v>137</v>
      </c>
      <c r="D27">
        <v>2.9999999999999997E-4</v>
      </c>
      <c r="E27" s="50" t="s">
        <v>137</v>
      </c>
      <c r="F27" s="50">
        <v>0</v>
      </c>
      <c r="G27" s="50" t="s">
        <v>176</v>
      </c>
      <c r="H27" s="50">
        <v>0</v>
      </c>
      <c r="I27" s="50">
        <v>1962</v>
      </c>
      <c r="J27">
        <v>2.9999999999999997E-4</v>
      </c>
      <c r="K27" s="50" t="s">
        <v>206</v>
      </c>
      <c r="L27" s="50">
        <v>1.3</v>
      </c>
      <c r="M27" s="50" t="s">
        <v>178</v>
      </c>
      <c r="N27" s="52"/>
      <c r="O27">
        <f t="shared" si="0"/>
        <v>0.49467275494672763</v>
      </c>
    </row>
    <row r="28" spans="1:15">
      <c r="A28" s="50" t="s">
        <v>366</v>
      </c>
      <c r="B28" s="51"/>
      <c r="C28" s="50" t="s">
        <v>137</v>
      </c>
      <c r="D28">
        <v>1E-4</v>
      </c>
      <c r="E28" s="50" t="s">
        <v>137</v>
      </c>
      <c r="F28" s="50">
        <v>0</v>
      </c>
      <c r="G28" s="50" t="s">
        <v>176</v>
      </c>
      <c r="H28" s="50">
        <v>0</v>
      </c>
      <c r="I28" s="50">
        <v>1962</v>
      </c>
      <c r="J28">
        <v>1E-4</v>
      </c>
      <c r="K28" s="50" t="s">
        <v>187</v>
      </c>
      <c r="L28" s="50">
        <v>0.5</v>
      </c>
      <c r="M28" s="50" t="s">
        <v>178</v>
      </c>
      <c r="N28" s="52"/>
      <c r="O28">
        <f t="shared" si="0"/>
        <v>0.57077625570776258</v>
      </c>
    </row>
    <row r="29" spans="1:15">
      <c r="A29" s="50" t="s">
        <v>377</v>
      </c>
      <c r="B29" s="51"/>
      <c r="C29" s="50" t="s">
        <v>137</v>
      </c>
      <c r="D29">
        <v>0</v>
      </c>
      <c r="E29" s="50" t="s">
        <v>137</v>
      </c>
      <c r="F29" s="50">
        <v>0</v>
      </c>
      <c r="G29" s="50" t="s">
        <v>176</v>
      </c>
      <c r="H29" s="50">
        <v>0</v>
      </c>
      <c r="I29" s="50">
        <v>1962</v>
      </c>
      <c r="J29">
        <v>0</v>
      </c>
      <c r="K29" s="50" t="s">
        <v>324</v>
      </c>
      <c r="L29" s="50">
        <v>0</v>
      </c>
      <c r="M29" s="50" t="s">
        <v>178</v>
      </c>
      <c r="N29" s="52"/>
    </row>
    <row r="30" spans="1:15">
      <c r="A30" s="50" t="s">
        <v>380</v>
      </c>
      <c r="B30" s="51"/>
      <c r="C30" s="50" t="s">
        <v>137</v>
      </c>
      <c r="D30">
        <v>0</v>
      </c>
      <c r="E30" s="50" t="s">
        <v>137</v>
      </c>
      <c r="F30" s="50">
        <v>0</v>
      </c>
      <c r="G30" s="50" t="s">
        <v>176</v>
      </c>
      <c r="H30" s="50">
        <v>0</v>
      </c>
      <c r="I30" s="50">
        <v>1962</v>
      </c>
      <c r="J30">
        <v>0</v>
      </c>
      <c r="K30" s="50" t="s">
        <v>324</v>
      </c>
      <c r="L30" s="50">
        <v>0</v>
      </c>
      <c r="M30" s="50" t="s">
        <v>178</v>
      </c>
      <c r="N30" s="52"/>
    </row>
    <row r="31" spans="1:15">
      <c r="A31" s="50" t="s">
        <v>381</v>
      </c>
      <c r="B31" s="51"/>
      <c r="C31" s="50" t="s">
        <v>137</v>
      </c>
      <c r="D31">
        <v>0</v>
      </c>
      <c r="E31" s="50" t="s">
        <v>137</v>
      </c>
      <c r="F31" s="50">
        <v>0</v>
      </c>
      <c r="G31" s="50" t="s">
        <v>176</v>
      </c>
      <c r="H31" s="50">
        <v>0</v>
      </c>
      <c r="I31" s="50">
        <v>1962</v>
      </c>
      <c r="J31">
        <v>0</v>
      </c>
      <c r="K31" s="50" t="s">
        <v>382</v>
      </c>
      <c r="L31" s="50">
        <v>0.1</v>
      </c>
      <c r="M31" s="50" t="s">
        <v>178</v>
      </c>
      <c r="N31" s="52"/>
    </row>
    <row r="32" spans="1:15">
      <c r="A32" s="50" t="s">
        <v>296</v>
      </c>
      <c r="B32" s="51"/>
      <c r="C32" s="50" t="s">
        <v>137</v>
      </c>
      <c r="D32">
        <v>1.9E-3</v>
      </c>
      <c r="E32" s="50" t="s">
        <v>137</v>
      </c>
      <c r="F32" s="50">
        <v>0</v>
      </c>
      <c r="G32" s="50" t="s">
        <v>176</v>
      </c>
      <c r="H32" s="50">
        <v>0</v>
      </c>
      <c r="I32" s="50">
        <v>1963</v>
      </c>
      <c r="J32">
        <v>1.9E-3</v>
      </c>
      <c r="K32" s="50" t="s">
        <v>278</v>
      </c>
      <c r="L32" s="50">
        <v>7</v>
      </c>
      <c r="M32" s="50" t="s">
        <v>178</v>
      </c>
      <c r="N32" s="51"/>
      <c r="O32">
        <f t="shared" si="0"/>
        <v>0.42057197788993034</v>
      </c>
    </row>
    <row r="33" spans="1:15">
      <c r="A33" s="50" t="s">
        <v>372</v>
      </c>
      <c r="B33" s="51"/>
      <c r="C33" s="50" t="s">
        <v>137</v>
      </c>
      <c r="D33">
        <v>4.9000000000000007E-3</v>
      </c>
      <c r="E33" s="50" t="s">
        <v>137</v>
      </c>
      <c r="F33" s="50">
        <v>0</v>
      </c>
      <c r="G33" s="50" t="s">
        <v>176</v>
      </c>
      <c r="H33" s="50">
        <v>0</v>
      </c>
      <c r="I33" s="50">
        <v>1963</v>
      </c>
      <c r="J33">
        <v>4.9000000000000007E-3</v>
      </c>
      <c r="K33" s="50" t="s">
        <v>373</v>
      </c>
      <c r="L33" s="50">
        <v>18</v>
      </c>
      <c r="M33" s="50" t="s">
        <v>178</v>
      </c>
      <c r="N33" s="52"/>
      <c r="O33">
        <f t="shared" si="0"/>
        <v>0.41934582051998875</v>
      </c>
    </row>
    <row r="34" spans="1:15">
      <c r="A34" s="50" t="s">
        <v>184</v>
      </c>
      <c r="B34" s="50" t="s">
        <v>182</v>
      </c>
      <c r="C34" s="50" t="s">
        <v>137</v>
      </c>
      <c r="D34">
        <v>7.8E-2</v>
      </c>
      <c r="E34" s="50" t="s">
        <v>137</v>
      </c>
      <c r="F34" s="50">
        <v>0.26800000000000002</v>
      </c>
      <c r="G34" s="50" t="s">
        <v>176</v>
      </c>
      <c r="H34" s="50">
        <v>0</v>
      </c>
      <c r="I34" s="50">
        <v>1964</v>
      </c>
      <c r="J34">
        <v>0.09</v>
      </c>
      <c r="K34" s="50" t="s">
        <v>185</v>
      </c>
      <c r="L34" s="50">
        <v>330</v>
      </c>
      <c r="M34" s="50" t="s">
        <v>178</v>
      </c>
      <c r="N34" s="51"/>
      <c r="O34">
        <f t="shared" si="0"/>
        <v>0.41856925418569257</v>
      </c>
    </row>
    <row r="35" spans="1:15">
      <c r="A35" s="50" t="s">
        <v>221</v>
      </c>
      <c r="B35" s="50" t="s">
        <v>219</v>
      </c>
      <c r="C35" s="50" t="s">
        <v>137</v>
      </c>
      <c r="D35">
        <v>1.3500000000000001E-3</v>
      </c>
      <c r="E35" s="50" t="s">
        <v>137</v>
      </c>
      <c r="F35" s="50">
        <v>0</v>
      </c>
      <c r="G35" s="50" t="s">
        <v>176</v>
      </c>
      <c r="H35" s="50">
        <v>0</v>
      </c>
      <c r="I35" s="50">
        <v>1966</v>
      </c>
      <c r="J35">
        <v>1.3500000000000001E-3</v>
      </c>
      <c r="K35" s="50" t="s">
        <v>222</v>
      </c>
      <c r="L35" s="50">
        <v>6</v>
      </c>
      <c r="M35" s="50" t="s">
        <v>178</v>
      </c>
      <c r="N35" s="52"/>
      <c r="O35">
        <f t="shared" si="0"/>
        <v>0.50735667174023336</v>
      </c>
    </row>
    <row r="36" spans="1:15">
      <c r="A36" s="50" t="s">
        <v>253</v>
      </c>
      <c r="B36" s="51"/>
      <c r="C36" s="50" t="s">
        <v>118</v>
      </c>
      <c r="D36">
        <v>3.6999999999999998E-2</v>
      </c>
      <c r="E36" s="50" t="s">
        <v>191</v>
      </c>
      <c r="F36" s="50">
        <v>0</v>
      </c>
      <c r="G36" s="50" t="s">
        <v>176</v>
      </c>
      <c r="H36" s="50">
        <v>0</v>
      </c>
      <c r="I36" s="50">
        <v>1966</v>
      </c>
      <c r="J36">
        <v>3.6999999999999998E-2</v>
      </c>
      <c r="K36" s="50" t="s">
        <v>254</v>
      </c>
      <c r="L36" s="50">
        <v>271</v>
      </c>
      <c r="M36" s="50" t="s">
        <v>178</v>
      </c>
      <c r="N36" s="52"/>
      <c r="O36">
        <f t="shared" si="0"/>
        <v>0.83611008268542519</v>
      </c>
    </row>
    <row r="37" spans="1:15">
      <c r="A37" s="50" t="s">
        <v>286</v>
      </c>
      <c r="B37" s="51"/>
      <c r="C37" s="50" t="s">
        <v>137</v>
      </c>
      <c r="D37">
        <v>7.1999999999999995E-2</v>
      </c>
      <c r="E37" s="50" t="s">
        <v>137</v>
      </c>
      <c r="F37" s="50">
        <v>0.54100000000000004</v>
      </c>
      <c r="G37" s="50" t="s">
        <v>176</v>
      </c>
      <c r="H37" s="50">
        <v>0</v>
      </c>
      <c r="I37" s="50">
        <v>1967</v>
      </c>
      <c r="J37">
        <v>7.1999999999999995E-2</v>
      </c>
      <c r="K37" s="50" t="s">
        <v>282</v>
      </c>
      <c r="L37" s="50">
        <v>280</v>
      </c>
      <c r="M37" s="50" t="s">
        <v>178</v>
      </c>
      <c r="N37" s="51"/>
      <c r="O37">
        <f t="shared" si="0"/>
        <v>0.44393708777270424</v>
      </c>
    </row>
    <row r="38" spans="1:15">
      <c r="A38" s="50" t="s">
        <v>281</v>
      </c>
      <c r="B38" s="50" t="s">
        <v>182</v>
      </c>
      <c r="C38" s="50" t="s">
        <v>137</v>
      </c>
      <c r="D38">
        <v>0.36</v>
      </c>
      <c r="E38" s="50" t="s">
        <v>137</v>
      </c>
      <c r="F38" s="50">
        <v>0.498</v>
      </c>
      <c r="G38" s="50" t="s">
        <v>176</v>
      </c>
      <c r="H38" s="50">
        <v>0</v>
      </c>
      <c r="I38" s="50">
        <v>1971</v>
      </c>
      <c r="J38">
        <v>0.36</v>
      </c>
      <c r="K38" s="50" t="s">
        <v>282</v>
      </c>
      <c r="L38" s="50">
        <v>885</v>
      </c>
      <c r="M38" s="50" t="s">
        <v>178</v>
      </c>
      <c r="N38" s="51"/>
      <c r="O38">
        <f t="shared" si="0"/>
        <v>0.2806316590563166</v>
      </c>
    </row>
    <row r="39" spans="1:15">
      <c r="A39" s="50" t="s">
        <v>265</v>
      </c>
      <c r="B39" s="50" t="s">
        <v>237</v>
      </c>
      <c r="C39" s="50" t="s">
        <v>137</v>
      </c>
      <c r="D39">
        <v>1.5599999999999999E-2</v>
      </c>
      <c r="E39" s="50" t="s">
        <v>137</v>
      </c>
      <c r="F39" s="50">
        <v>0</v>
      </c>
      <c r="G39" s="50" t="s">
        <v>176</v>
      </c>
      <c r="H39" s="50">
        <v>0</v>
      </c>
      <c r="I39" s="50">
        <v>1972</v>
      </c>
      <c r="J39">
        <v>1.5599999999999999E-2</v>
      </c>
      <c r="K39" s="50" t="s">
        <v>266</v>
      </c>
      <c r="L39" s="50">
        <v>70</v>
      </c>
      <c r="M39" s="50" t="s">
        <v>178</v>
      </c>
      <c r="N39" s="52"/>
      <c r="O39">
        <f t="shared" si="0"/>
        <v>0.5122351012761972</v>
      </c>
    </row>
    <row r="40" spans="1:15">
      <c r="A40" s="50" t="s">
        <v>362</v>
      </c>
      <c r="B40" s="50" t="s">
        <v>330</v>
      </c>
      <c r="C40" s="50" t="s">
        <v>137</v>
      </c>
      <c r="D40">
        <v>0.24</v>
      </c>
      <c r="E40" s="50" t="s">
        <v>137</v>
      </c>
      <c r="F40" s="50">
        <v>1.754</v>
      </c>
      <c r="G40" s="50" t="s">
        <v>176</v>
      </c>
      <c r="H40" s="50">
        <v>0</v>
      </c>
      <c r="I40" s="50">
        <v>1973</v>
      </c>
      <c r="J40">
        <v>0.24</v>
      </c>
      <c r="K40" s="50" t="s">
        <v>331</v>
      </c>
      <c r="L40" s="50">
        <v>763</v>
      </c>
      <c r="M40" s="50" t="s">
        <v>178</v>
      </c>
      <c r="N40" s="52"/>
      <c r="O40">
        <f t="shared" si="0"/>
        <v>0.36291856925418575</v>
      </c>
    </row>
    <row r="41" spans="1:15">
      <c r="A41" s="50" t="s">
        <v>375</v>
      </c>
      <c r="B41" s="51"/>
      <c r="C41" s="50" t="s">
        <v>137</v>
      </c>
      <c r="D41">
        <v>5.0000000000000001E-3</v>
      </c>
      <c r="E41" s="50" t="s">
        <v>137</v>
      </c>
      <c r="F41" s="50">
        <v>0</v>
      </c>
      <c r="G41" s="50" t="s">
        <v>176</v>
      </c>
      <c r="H41" s="50">
        <v>0</v>
      </c>
      <c r="I41" s="50">
        <v>1978</v>
      </c>
      <c r="J41">
        <v>5.0000000000000001E-3</v>
      </c>
      <c r="K41" s="50" t="s">
        <v>264</v>
      </c>
      <c r="L41" s="50">
        <v>22</v>
      </c>
      <c r="M41" s="50" t="s">
        <v>178</v>
      </c>
      <c r="N41" s="52"/>
      <c r="O41">
        <f t="shared" si="0"/>
        <v>0.50228310502283102</v>
      </c>
    </row>
    <row r="42" spans="1:15">
      <c r="A42" s="50" t="s">
        <v>179</v>
      </c>
      <c r="B42" s="51"/>
      <c r="C42" s="50" t="s">
        <v>137</v>
      </c>
      <c r="D42">
        <v>2.5000000000000001E-2</v>
      </c>
      <c r="E42" s="50" t="s">
        <v>137</v>
      </c>
      <c r="F42" s="50">
        <v>0.17299999999999999</v>
      </c>
      <c r="G42" s="50" t="s">
        <v>176</v>
      </c>
      <c r="H42" s="50">
        <v>0</v>
      </c>
      <c r="I42" s="50">
        <v>1979</v>
      </c>
      <c r="J42">
        <v>2.5000000000000001E-2</v>
      </c>
      <c r="K42" s="50" t="s">
        <v>180</v>
      </c>
      <c r="L42" s="50">
        <v>105</v>
      </c>
      <c r="M42" s="50" t="s">
        <v>178</v>
      </c>
      <c r="N42" s="51"/>
      <c r="O42">
        <f t="shared" si="0"/>
        <v>0.47945205479452052</v>
      </c>
    </row>
    <row r="43" spans="1:15">
      <c r="A43" s="50" t="s">
        <v>267</v>
      </c>
      <c r="B43" s="50" t="s">
        <v>237</v>
      </c>
      <c r="C43" s="50" t="s">
        <v>137</v>
      </c>
      <c r="D43">
        <v>6.0000000000000001E-3</v>
      </c>
      <c r="E43" s="50" t="s">
        <v>137</v>
      </c>
      <c r="F43" s="50">
        <v>0</v>
      </c>
      <c r="G43" s="50" t="s">
        <v>176</v>
      </c>
      <c r="H43" s="50">
        <v>0</v>
      </c>
      <c r="I43" s="50">
        <v>1979</v>
      </c>
      <c r="J43">
        <v>6.0000000000000001E-3</v>
      </c>
      <c r="K43" s="50" t="s">
        <v>268</v>
      </c>
      <c r="L43" s="50">
        <v>17</v>
      </c>
      <c r="M43" s="50" t="s">
        <v>178</v>
      </c>
      <c r="N43" s="52"/>
      <c r="O43">
        <f t="shared" si="0"/>
        <v>0.32343987823439879</v>
      </c>
    </row>
    <row r="44" spans="1:15">
      <c r="A44" s="50" t="s">
        <v>338</v>
      </c>
      <c r="B44" s="50" t="s">
        <v>237</v>
      </c>
      <c r="C44" s="50" t="s">
        <v>137</v>
      </c>
      <c r="D44">
        <v>0.02</v>
      </c>
      <c r="E44" s="50" t="s">
        <v>137</v>
      </c>
      <c r="F44" s="50">
        <v>0</v>
      </c>
      <c r="G44" s="50" t="s">
        <v>176</v>
      </c>
      <c r="H44" s="50">
        <v>0</v>
      </c>
      <c r="I44" s="50">
        <v>1981</v>
      </c>
      <c r="J44">
        <v>0.02</v>
      </c>
      <c r="K44" s="50" t="s">
        <v>316</v>
      </c>
      <c r="L44" s="50">
        <v>76</v>
      </c>
      <c r="M44" s="50" t="s">
        <v>178</v>
      </c>
      <c r="N44" s="52"/>
      <c r="O44">
        <f t="shared" si="0"/>
        <v>0.43378995433789952</v>
      </c>
    </row>
    <row r="45" spans="1:15">
      <c r="A45" s="50" t="s">
        <v>383</v>
      </c>
      <c r="B45" s="51"/>
      <c r="C45" s="50" t="s">
        <v>118</v>
      </c>
      <c r="D45">
        <v>8.0000000000000002E-3</v>
      </c>
      <c r="E45" s="50" t="s">
        <v>191</v>
      </c>
      <c r="F45" s="50">
        <v>0</v>
      </c>
      <c r="G45" s="50" t="s">
        <v>384</v>
      </c>
      <c r="H45" s="50">
        <v>0</v>
      </c>
      <c r="I45" s="50">
        <v>1981</v>
      </c>
      <c r="J45">
        <v>0.01</v>
      </c>
      <c r="K45" s="50" t="s">
        <v>385</v>
      </c>
      <c r="L45" s="50">
        <v>0</v>
      </c>
      <c r="M45" s="50" t="s">
        <v>178</v>
      </c>
      <c r="N45" s="52"/>
      <c r="O45">
        <f t="shared" si="0"/>
        <v>0</v>
      </c>
    </row>
    <row r="46" spans="1:15">
      <c r="A46" s="50" t="s">
        <v>223</v>
      </c>
      <c r="B46" s="50" t="s">
        <v>219</v>
      </c>
      <c r="C46" s="50" t="s">
        <v>137</v>
      </c>
      <c r="D46">
        <v>2.8500000000000001E-3</v>
      </c>
      <c r="E46" s="50" t="s">
        <v>137</v>
      </c>
      <c r="F46" s="50">
        <v>0</v>
      </c>
      <c r="G46" s="50" t="s">
        <v>176</v>
      </c>
      <c r="H46" s="50">
        <v>0</v>
      </c>
      <c r="I46" s="50">
        <v>1982</v>
      </c>
      <c r="J46">
        <v>2.8500000000000001E-3</v>
      </c>
      <c r="K46" s="50" t="s">
        <v>224</v>
      </c>
      <c r="L46" s="50">
        <v>13</v>
      </c>
      <c r="M46" s="50" t="s">
        <v>178</v>
      </c>
      <c r="N46" s="52"/>
      <c r="O46">
        <f t="shared" si="0"/>
        <v>0.52070816310181844</v>
      </c>
    </row>
    <row r="47" spans="1:15">
      <c r="A47" s="50" t="s">
        <v>236</v>
      </c>
      <c r="B47" s="50" t="s">
        <v>237</v>
      </c>
      <c r="C47" s="50" t="s">
        <v>137</v>
      </c>
      <c r="D47">
        <v>3.5E-4</v>
      </c>
      <c r="E47" s="50" t="s">
        <v>137</v>
      </c>
      <c r="F47" s="50">
        <v>0</v>
      </c>
      <c r="G47" s="50" t="s">
        <v>176</v>
      </c>
      <c r="H47" s="50">
        <v>0</v>
      </c>
      <c r="I47" s="50">
        <v>1982</v>
      </c>
      <c r="J47">
        <v>3.5E-4</v>
      </c>
      <c r="K47" s="50" t="s">
        <v>238</v>
      </c>
      <c r="L47" s="50">
        <v>2</v>
      </c>
      <c r="M47" s="50" t="s">
        <v>178</v>
      </c>
      <c r="N47" s="52"/>
      <c r="O47">
        <f t="shared" si="0"/>
        <v>0.65231572080887157</v>
      </c>
    </row>
    <row r="48" spans="1:15">
      <c r="A48" s="50" t="s">
        <v>390</v>
      </c>
      <c r="B48" s="51"/>
      <c r="C48" s="50" t="s">
        <v>137</v>
      </c>
      <c r="D48">
        <v>2.4E-2</v>
      </c>
      <c r="E48" s="50" t="s">
        <v>137</v>
      </c>
      <c r="F48" s="50">
        <v>0.16</v>
      </c>
      <c r="G48" s="50" t="s">
        <v>176</v>
      </c>
      <c r="H48" s="50">
        <v>0</v>
      </c>
      <c r="I48" s="50">
        <v>1982</v>
      </c>
      <c r="J48">
        <v>2.4E-2</v>
      </c>
      <c r="K48" s="50" t="s">
        <v>304</v>
      </c>
      <c r="L48" s="50">
        <v>115</v>
      </c>
      <c r="M48" s="50" t="s">
        <v>178</v>
      </c>
      <c r="N48" s="52"/>
      <c r="O48">
        <f t="shared" si="0"/>
        <v>0.54699391171993916</v>
      </c>
    </row>
    <row r="49" spans="1:15">
      <c r="A49" s="50" t="s">
        <v>227</v>
      </c>
      <c r="B49" s="51"/>
      <c r="C49" s="50" t="s">
        <v>94</v>
      </c>
      <c r="D49">
        <v>0.5</v>
      </c>
      <c r="E49" s="50" t="s">
        <v>228</v>
      </c>
      <c r="F49" s="50">
        <v>10300</v>
      </c>
      <c r="G49" s="50" t="s">
        <v>191</v>
      </c>
      <c r="H49" s="50">
        <v>10500</v>
      </c>
      <c r="I49" s="50">
        <v>1983</v>
      </c>
      <c r="J49">
        <v>1</v>
      </c>
      <c r="K49" s="50" t="s">
        <v>229</v>
      </c>
      <c r="L49" s="50">
        <v>2850</v>
      </c>
      <c r="M49" s="50" t="s">
        <v>178</v>
      </c>
      <c r="N49" s="52"/>
      <c r="O49">
        <f t="shared" si="0"/>
        <v>0.32534246575342468</v>
      </c>
    </row>
    <row r="50" spans="1:15">
      <c r="A50" s="50" t="s">
        <v>329</v>
      </c>
      <c r="B50" s="50" t="s">
        <v>330</v>
      </c>
      <c r="C50" s="50" t="s">
        <v>137</v>
      </c>
      <c r="D50">
        <v>0.12</v>
      </c>
      <c r="E50" s="50" t="s">
        <v>137</v>
      </c>
      <c r="F50" s="50">
        <v>0</v>
      </c>
      <c r="G50" s="50" t="s">
        <v>176</v>
      </c>
      <c r="H50" s="50">
        <v>0</v>
      </c>
      <c r="I50" s="50">
        <v>1983</v>
      </c>
      <c r="J50">
        <v>0.12</v>
      </c>
      <c r="K50" s="50" t="s">
        <v>331</v>
      </c>
      <c r="L50" s="50">
        <v>580</v>
      </c>
      <c r="M50" s="50" t="s">
        <v>178</v>
      </c>
      <c r="N50" s="52"/>
      <c r="O50">
        <f t="shared" si="0"/>
        <v>0.55175038051750391</v>
      </c>
    </row>
    <row r="51" spans="1:15">
      <c r="A51" s="50" t="s">
        <v>315</v>
      </c>
      <c r="B51" s="51"/>
      <c r="C51" s="50" t="s">
        <v>137</v>
      </c>
      <c r="D51">
        <v>3.0699999999999998E-2</v>
      </c>
      <c r="E51" s="50" t="s">
        <v>137</v>
      </c>
      <c r="F51" s="50">
        <v>0.16</v>
      </c>
      <c r="G51" s="50" t="s">
        <v>176</v>
      </c>
      <c r="H51" s="50">
        <v>0</v>
      </c>
      <c r="I51" s="50">
        <v>1984</v>
      </c>
      <c r="J51">
        <v>3.0699999999999998E-2</v>
      </c>
      <c r="K51" s="50" t="s">
        <v>316</v>
      </c>
      <c r="L51" s="50">
        <v>118</v>
      </c>
      <c r="M51" s="50" t="s">
        <v>178</v>
      </c>
      <c r="N51" s="52"/>
      <c r="O51">
        <f t="shared" si="0"/>
        <v>0.43877262653756344</v>
      </c>
    </row>
    <row r="52" spans="1:15">
      <c r="A52" s="50" t="s">
        <v>317</v>
      </c>
      <c r="B52" s="50" t="s">
        <v>318</v>
      </c>
      <c r="C52" s="50" t="s">
        <v>137</v>
      </c>
      <c r="D52">
        <v>2.2499999999999998E-3</v>
      </c>
      <c r="E52" s="50" t="s">
        <v>137</v>
      </c>
      <c r="F52" s="50">
        <v>0</v>
      </c>
      <c r="G52" s="50" t="s">
        <v>176</v>
      </c>
      <c r="H52" s="50">
        <v>0</v>
      </c>
      <c r="I52" s="50">
        <v>1984</v>
      </c>
      <c r="J52">
        <v>2.2499999999999998E-3</v>
      </c>
      <c r="K52" s="50" t="s">
        <v>319</v>
      </c>
      <c r="L52" s="50">
        <v>8</v>
      </c>
      <c r="M52" s="50" t="s">
        <v>178</v>
      </c>
      <c r="N52" s="52"/>
      <c r="O52">
        <f t="shared" si="0"/>
        <v>0.40588533739218674</v>
      </c>
    </row>
    <row r="53" spans="1:15">
      <c r="A53" s="50" t="s">
        <v>245</v>
      </c>
      <c r="B53" s="51"/>
      <c r="C53" s="50" t="s">
        <v>138</v>
      </c>
      <c r="D53">
        <v>6.4000000000000003E-3</v>
      </c>
      <c r="E53" s="50" t="s">
        <v>138</v>
      </c>
      <c r="F53" s="50">
        <v>0</v>
      </c>
      <c r="G53" s="50" t="s">
        <v>176</v>
      </c>
      <c r="H53" s="50">
        <v>0</v>
      </c>
      <c r="I53" s="50">
        <v>1989</v>
      </c>
      <c r="J53">
        <v>6.4000000000000003E-3</v>
      </c>
      <c r="K53" s="50" t="s">
        <v>246</v>
      </c>
      <c r="L53" s="50">
        <v>35</v>
      </c>
      <c r="M53" s="50" t="s">
        <v>178</v>
      </c>
      <c r="N53" s="52"/>
      <c r="O53">
        <f t="shared" si="0"/>
        <v>0.62428652968036524</v>
      </c>
    </row>
    <row r="54" spans="1:15">
      <c r="A54" s="50" t="s">
        <v>305</v>
      </c>
      <c r="B54" s="51"/>
      <c r="C54" s="50" t="s">
        <v>138</v>
      </c>
      <c r="D54">
        <v>7.0000000000000007E-2</v>
      </c>
      <c r="E54" s="50" t="s">
        <v>138</v>
      </c>
      <c r="F54" s="50">
        <v>0</v>
      </c>
      <c r="G54" s="50" t="s">
        <v>176</v>
      </c>
      <c r="H54" s="50">
        <v>0</v>
      </c>
      <c r="I54" s="50">
        <v>1989</v>
      </c>
      <c r="J54">
        <v>0.11600000000000001</v>
      </c>
      <c r="K54" s="50" t="s">
        <v>306</v>
      </c>
      <c r="L54" s="50">
        <v>300</v>
      </c>
      <c r="M54" s="50" t="s">
        <v>178</v>
      </c>
      <c r="N54" s="52"/>
      <c r="O54">
        <f t="shared" si="0"/>
        <v>0.29522909777987721</v>
      </c>
    </row>
    <row r="55" spans="1:15">
      <c r="A55" s="50" t="s">
        <v>211</v>
      </c>
      <c r="B55" s="51"/>
      <c r="C55" s="50" t="s">
        <v>212</v>
      </c>
      <c r="D55">
        <v>5.4999999999999997E-3</v>
      </c>
      <c r="E55" s="50" t="s">
        <v>142</v>
      </c>
      <c r="F55" s="50">
        <v>0</v>
      </c>
      <c r="G55" s="50" t="s">
        <v>176</v>
      </c>
      <c r="H55" s="50">
        <v>0</v>
      </c>
      <c r="I55" s="50">
        <v>1992</v>
      </c>
      <c r="J55">
        <v>5.4999999999999997E-3</v>
      </c>
      <c r="K55" s="50" t="s">
        <v>213</v>
      </c>
      <c r="L55" s="50">
        <v>38</v>
      </c>
      <c r="M55" s="50" t="s">
        <v>178</v>
      </c>
      <c r="N55" s="52"/>
      <c r="O55">
        <f t="shared" si="0"/>
        <v>0.7887090078870902</v>
      </c>
    </row>
    <row r="56" spans="1:15">
      <c r="A56" s="50" t="s">
        <v>335</v>
      </c>
      <c r="B56" s="51"/>
      <c r="C56" s="50" t="s">
        <v>212</v>
      </c>
      <c r="D56">
        <v>2.8E-3</v>
      </c>
      <c r="E56" s="50" t="s">
        <v>142</v>
      </c>
      <c r="F56" s="50">
        <v>0</v>
      </c>
      <c r="G56" s="50" t="s">
        <v>176</v>
      </c>
      <c r="H56" s="50">
        <v>0</v>
      </c>
      <c r="I56" s="50">
        <v>1992</v>
      </c>
      <c r="J56">
        <v>2.8E-3</v>
      </c>
      <c r="K56" s="50" t="s">
        <v>213</v>
      </c>
      <c r="L56" s="50">
        <v>22</v>
      </c>
      <c r="M56" s="50" t="s">
        <v>178</v>
      </c>
      <c r="N56" s="52"/>
      <c r="O56">
        <f t="shared" si="0"/>
        <v>0.89693411611219831</v>
      </c>
    </row>
    <row r="57" spans="1:15">
      <c r="A57" s="50" t="s">
        <v>386</v>
      </c>
      <c r="B57" s="51"/>
      <c r="C57" s="50" t="s">
        <v>140</v>
      </c>
      <c r="D57">
        <v>2.0000000000000001E-4</v>
      </c>
      <c r="E57" s="50" t="s">
        <v>140</v>
      </c>
      <c r="F57" s="50">
        <v>0</v>
      </c>
      <c r="G57" s="50" t="s">
        <v>176</v>
      </c>
      <c r="H57" s="50">
        <v>0</v>
      </c>
      <c r="I57" s="50">
        <v>1993</v>
      </c>
      <c r="J57">
        <v>2.0000000000000001E-4</v>
      </c>
      <c r="K57" s="50" t="s">
        <v>276</v>
      </c>
      <c r="L57" s="50">
        <v>0.8</v>
      </c>
      <c r="M57" s="50" t="s">
        <v>178</v>
      </c>
      <c r="N57" s="52"/>
      <c r="O57">
        <f t="shared" si="0"/>
        <v>0.45662100456621002</v>
      </c>
    </row>
    <row r="58" spans="1:15">
      <c r="A58" s="50" t="s">
        <v>339</v>
      </c>
      <c r="B58" s="51"/>
      <c r="C58" s="50" t="s">
        <v>212</v>
      </c>
      <c r="D58">
        <v>2.7000000000000001E-3</v>
      </c>
      <c r="E58" s="50" t="s">
        <v>142</v>
      </c>
      <c r="F58" s="50">
        <v>0</v>
      </c>
      <c r="G58" s="50" t="s">
        <v>176</v>
      </c>
      <c r="H58" s="50">
        <v>0</v>
      </c>
      <c r="I58" s="50">
        <v>1994</v>
      </c>
      <c r="J58">
        <v>2.7000000000000001E-3</v>
      </c>
      <c r="K58" s="50" t="s">
        <v>226</v>
      </c>
      <c r="L58" s="50">
        <v>13</v>
      </c>
      <c r="M58" s="50" t="s">
        <v>178</v>
      </c>
      <c r="N58" s="52"/>
      <c r="O58">
        <f t="shared" si="0"/>
        <v>0.5496363943852528</v>
      </c>
    </row>
    <row r="59" spans="1:15">
      <c r="A59" s="53" t="s">
        <v>174</v>
      </c>
      <c r="B59" s="51"/>
      <c r="C59" s="50" t="s">
        <v>94</v>
      </c>
      <c r="D59">
        <v>3.8999999999999998E-3</v>
      </c>
      <c r="E59" s="50" t="s">
        <v>191</v>
      </c>
      <c r="F59" s="50">
        <v>0</v>
      </c>
      <c r="G59" s="50" t="s">
        <v>176</v>
      </c>
      <c r="H59" s="50">
        <v>0</v>
      </c>
      <c r="I59" s="50">
        <v>1995</v>
      </c>
      <c r="J59">
        <v>3.8999999999999998E-3</v>
      </c>
      <c r="K59" s="50" t="s">
        <v>177</v>
      </c>
      <c r="L59" s="50">
        <v>3.3</v>
      </c>
      <c r="M59" s="50" t="s">
        <v>178</v>
      </c>
      <c r="N59" s="51"/>
      <c r="O59">
        <f t="shared" si="0"/>
        <v>9.6592904812082894E-2</v>
      </c>
    </row>
    <row r="60" spans="1:15">
      <c r="A60" s="53" t="s">
        <v>186</v>
      </c>
      <c r="B60" s="51"/>
      <c r="C60" s="50" t="s">
        <v>175</v>
      </c>
      <c r="D60">
        <v>1E-4</v>
      </c>
      <c r="E60" s="50" t="s">
        <v>191</v>
      </c>
      <c r="F60" s="50">
        <v>0</v>
      </c>
      <c r="G60" s="50" t="s">
        <v>176</v>
      </c>
      <c r="H60" s="50">
        <v>0</v>
      </c>
      <c r="I60" s="50">
        <v>1995</v>
      </c>
      <c r="J60">
        <v>1E-4</v>
      </c>
      <c r="K60" s="50" t="s">
        <v>187</v>
      </c>
      <c r="L60" s="50">
        <v>0</v>
      </c>
      <c r="M60" s="50" t="s">
        <v>178</v>
      </c>
      <c r="N60" s="51"/>
      <c r="O60">
        <f t="shared" si="0"/>
        <v>0</v>
      </c>
    </row>
    <row r="61" spans="1:15">
      <c r="A61" s="53" t="s">
        <v>193</v>
      </c>
      <c r="B61" s="51"/>
      <c r="C61" s="50" t="s">
        <v>118</v>
      </c>
      <c r="D61">
        <v>6.4999999999999997E-3</v>
      </c>
      <c r="E61" s="50" t="s">
        <v>191</v>
      </c>
      <c r="F61" s="50">
        <v>0</v>
      </c>
      <c r="G61" s="50" t="s">
        <v>176</v>
      </c>
      <c r="H61" s="50">
        <v>0</v>
      </c>
      <c r="I61" s="50">
        <v>1995</v>
      </c>
      <c r="J61">
        <v>6.4999999999999997E-3</v>
      </c>
      <c r="K61" s="50" t="s">
        <v>194</v>
      </c>
      <c r="L61" s="50">
        <v>11</v>
      </c>
      <c r="M61" s="50" t="s">
        <v>178</v>
      </c>
      <c r="N61" s="51"/>
      <c r="O61">
        <f t="shared" si="0"/>
        <v>0.19318580962416579</v>
      </c>
    </row>
    <row r="62" spans="1:15">
      <c r="A62" s="53" t="s">
        <v>197</v>
      </c>
      <c r="B62" s="51"/>
      <c r="C62" s="50" t="s">
        <v>175</v>
      </c>
      <c r="D62">
        <v>2.3E-3</v>
      </c>
      <c r="E62" s="50" t="s">
        <v>191</v>
      </c>
      <c r="F62" s="50">
        <v>0</v>
      </c>
      <c r="G62" s="50" t="s">
        <v>176</v>
      </c>
      <c r="H62" s="50">
        <v>0</v>
      </c>
      <c r="I62" s="50">
        <v>1995</v>
      </c>
      <c r="J62">
        <v>2.3E-3</v>
      </c>
      <c r="K62" s="50" t="s">
        <v>198</v>
      </c>
      <c r="L62" s="50">
        <v>0</v>
      </c>
      <c r="M62" s="50" t="s">
        <v>178</v>
      </c>
      <c r="N62" s="51"/>
      <c r="O62">
        <f t="shared" si="0"/>
        <v>0</v>
      </c>
    </row>
    <row r="63" spans="1:15">
      <c r="A63" s="53" t="s">
        <v>207</v>
      </c>
      <c r="B63" s="51"/>
      <c r="C63" s="50" t="s">
        <v>175</v>
      </c>
      <c r="D63">
        <v>4.0000000000000001E-3</v>
      </c>
      <c r="E63" s="50" t="s">
        <v>191</v>
      </c>
      <c r="F63" s="50">
        <v>0</v>
      </c>
      <c r="G63" s="50" t="s">
        <v>176</v>
      </c>
      <c r="H63" s="50">
        <v>0</v>
      </c>
      <c r="I63" s="50">
        <v>1995</v>
      </c>
      <c r="J63">
        <v>4.4999999999999997E-3</v>
      </c>
      <c r="K63" s="50" t="s">
        <v>208</v>
      </c>
      <c r="L63" s="50">
        <v>1.2</v>
      </c>
      <c r="M63" s="50" t="s">
        <v>178</v>
      </c>
      <c r="N63" s="51"/>
      <c r="O63">
        <f t="shared" si="0"/>
        <v>3.0441400304414005E-2</v>
      </c>
    </row>
    <row r="64" spans="1:15">
      <c r="A64" s="53" t="s">
        <v>235</v>
      </c>
      <c r="B64" s="51"/>
      <c r="C64" s="50" t="s">
        <v>175</v>
      </c>
      <c r="D64">
        <v>2.9999999999999997E-4</v>
      </c>
      <c r="E64" s="50" t="s">
        <v>191</v>
      </c>
      <c r="F64" s="50">
        <v>0</v>
      </c>
      <c r="G64" s="50" t="s">
        <v>176</v>
      </c>
      <c r="H64" s="50">
        <v>0</v>
      </c>
      <c r="I64" s="50">
        <v>1995</v>
      </c>
      <c r="J64">
        <v>2.9999999999999997E-4</v>
      </c>
      <c r="K64" s="50" t="s">
        <v>206</v>
      </c>
      <c r="L64" s="50">
        <v>0</v>
      </c>
      <c r="M64" s="50" t="s">
        <v>178</v>
      </c>
      <c r="N64" s="52"/>
      <c r="O64">
        <f t="shared" si="0"/>
        <v>0</v>
      </c>
    </row>
    <row r="65" spans="1:15">
      <c r="A65" s="53" t="s">
        <v>279</v>
      </c>
      <c r="B65" s="51"/>
      <c r="C65" s="50" t="s">
        <v>175</v>
      </c>
      <c r="D65">
        <v>0</v>
      </c>
      <c r="E65" s="50" t="s">
        <v>191</v>
      </c>
      <c r="F65" s="50">
        <v>0</v>
      </c>
      <c r="G65" s="50" t="s">
        <v>176</v>
      </c>
      <c r="H65" s="50">
        <v>0</v>
      </c>
      <c r="I65" s="50">
        <v>1995</v>
      </c>
      <c r="J65">
        <v>0</v>
      </c>
      <c r="K65" s="50" t="s">
        <v>280</v>
      </c>
      <c r="L65" s="50">
        <v>0</v>
      </c>
      <c r="M65" s="50" t="s">
        <v>178</v>
      </c>
      <c r="N65" s="51"/>
      <c r="O65" t="e">
        <f t="shared" si="0"/>
        <v>#DIV/0!</v>
      </c>
    </row>
    <row r="66" spans="1:15">
      <c r="A66" s="53" t="s">
        <v>288</v>
      </c>
      <c r="B66" s="51"/>
      <c r="C66" s="50" t="s">
        <v>94</v>
      </c>
      <c r="D66">
        <v>5.0000000000000001E-4</v>
      </c>
      <c r="E66" s="50" t="s">
        <v>191</v>
      </c>
      <c r="F66" s="50">
        <v>0</v>
      </c>
      <c r="G66" s="50" t="s">
        <v>176</v>
      </c>
      <c r="H66" s="50">
        <v>0</v>
      </c>
      <c r="I66" s="50">
        <v>1995</v>
      </c>
      <c r="J66">
        <v>5.0000000000000001E-4</v>
      </c>
      <c r="K66" s="50" t="s">
        <v>289</v>
      </c>
      <c r="L66" s="50">
        <v>0.3</v>
      </c>
      <c r="M66" s="50" t="s">
        <v>178</v>
      </c>
      <c r="N66" s="51"/>
      <c r="O66">
        <f t="shared" si="0"/>
        <v>6.8493150684931503E-2</v>
      </c>
    </row>
    <row r="67" spans="1:15">
      <c r="A67" s="53" t="s">
        <v>297</v>
      </c>
      <c r="B67" s="51"/>
      <c r="C67" s="50" t="s">
        <v>94</v>
      </c>
      <c r="D67">
        <v>2.0000000000000001E-4</v>
      </c>
      <c r="E67" s="50" t="s">
        <v>191</v>
      </c>
      <c r="F67" s="50">
        <v>0</v>
      </c>
      <c r="G67" s="50" t="s">
        <v>176</v>
      </c>
      <c r="H67" s="50">
        <v>0</v>
      </c>
      <c r="I67" s="50">
        <v>1995</v>
      </c>
      <c r="J67">
        <v>2.0000000000000001E-4</v>
      </c>
      <c r="K67" s="50" t="s">
        <v>276</v>
      </c>
      <c r="L67" s="50">
        <v>0.4</v>
      </c>
      <c r="M67" s="50" t="s">
        <v>178</v>
      </c>
      <c r="N67" s="51"/>
      <c r="O67">
        <f t="shared" ref="O67:O125" si="1">+L67/J67/8760</f>
        <v>0.22831050228310501</v>
      </c>
    </row>
    <row r="68" spans="1:15">
      <c r="A68" s="53" t="s">
        <v>309</v>
      </c>
      <c r="B68" s="51"/>
      <c r="C68" s="50" t="s">
        <v>310</v>
      </c>
      <c r="D68">
        <v>2.0000000000000001E-4</v>
      </c>
      <c r="E68" s="50" t="s">
        <v>191</v>
      </c>
      <c r="F68" s="50">
        <v>0</v>
      </c>
      <c r="G68" s="50" t="s">
        <v>176</v>
      </c>
      <c r="H68" s="50">
        <v>0</v>
      </c>
      <c r="I68" s="50">
        <v>1995</v>
      </c>
      <c r="J68">
        <v>2.0000000000000001E-4</v>
      </c>
      <c r="K68" s="50" t="s">
        <v>276</v>
      </c>
      <c r="L68" s="50">
        <v>0</v>
      </c>
      <c r="M68" s="50" t="s">
        <v>178</v>
      </c>
      <c r="N68" s="52"/>
      <c r="O68">
        <f t="shared" si="1"/>
        <v>0</v>
      </c>
    </row>
    <row r="69" spans="1:15">
      <c r="A69" s="53" t="s">
        <v>323</v>
      </c>
      <c r="B69" s="51"/>
      <c r="C69" s="50" t="s">
        <v>175</v>
      </c>
      <c r="D69">
        <v>0</v>
      </c>
      <c r="E69" s="50" t="s">
        <v>191</v>
      </c>
      <c r="F69" s="50">
        <v>0</v>
      </c>
      <c r="G69" s="50" t="s">
        <v>176</v>
      </c>
      <c r="H69" s="50">
        <v>0</v>
      </c>
      <c r="I69" s="50">
        <v>1995</v>
      </c>
      <c r="J69">
        <v>0</v>
      </c>
      <c r="K69" s="50" t="s">
        <v>324</v>
      </c>
      <c r="L69" s="50">
        <v>0</v>
      </c>
      <c r="M69" s="50" t="s">
        <v>178</v>
      </c>
      <c r="N69" s="52"/>
      <c r="O69" t="e">
        <f t="shared" si="1"/>
        <v>#DIV/0!</v>
      </c>
    </row>
    <row r="70" spans="1:15">
      <c r="A70" s="53" t="s">
        <v>332</v>
      </c>
      <c r="B70" s="51"/>
      <c r="C70" s="50" t="s">
        <v>118</v>
      </c>
      <c r="D70">
        <v>8.0000000000000002E-3</v>
      </c>
      <c r="E70" s="50" t="s">
        <v>191</v>
      </c>
      <c r="F70" s="50">
        <v>0</v>
      </c>
      <c r="G70" s="50" t="s">
        <v>176</v>
      </c>
      <c r="H70" s="50">
        <v>0</v>
      </c>
      <c r="I70" s="50">
        <v>1995</v>
      </c>
      <c r="J70">
        <v>8.0000000000000002E-3</v>
      </c>
      <c r="K70" s="50" t="s">
        <v>333</v>
      </c>
      <c r="L70" s="50">
        <v>32</v>
      </c>
      <c r="M70" s="50" t="s">
        <v>178</v>
      </c>
      <c r="N70" s="52"/>
      <c r="O70">
        <f t="shared" si="1"/>
        <v>0.45662100456621002</v>
      </c>
    </row>
    <row r="71" spans="1:15">
      <c r="A71" s="53" t="s">
        <v>342</v>
      </c>
      <c r="B71" s="51"/>
      <c r="C71" s="50" t="s">
        <v>175</v>
      </c>
      <c r="D71">
        <v>1E-3</v>
      </c>
      <c r="E71" s="50" t="s">
        <v>191</v>
      </c>
      <c r="F71" s="50">
        <v>0</v>
      </c>
      <c r="G71" s="50" t="s">
        <v>176</v>
      </c>
      <c r="H71" s="50">
        <v>0</v>
      </c>
      <c r="I71" s="50">
        <v>1995</v>
      </c>
      <c r="J71">
        <v>1E-3</v>
      </c>
      <c r="K71" s="50" t="s">
        <v>215</v>
      </c>
      <c r="L71" s="50">
        <v>5</v>
      </c>
      <c r="M71" s="50" t="s">
        <v>178</v>
      </c>
      <c r="N71" s="52"/>
      <c r="O71">
        <f t="shared" si="1"/>
        <v>0.57077625570776258</v>
      </c>
    </row>
    <row r="72" spans="1:15">
      <c r="A72" s="53" t="s">
        <v>363</v>
      </c>
      <c r="B72" s="51"/>
      <c r="C72" s="50" t="s">
        <v>94</v>
      </c>
      <c r="D72">
        <v>8.0000000000000004E-4</v>
      </c>
      <c r="E72" s="50" t="s">
        <v>191</v>
      </c>
      <c r="F72" s="50">
        <v>0</v>
      </c>
      <c r="G72" s="50" t="s">
        <v>176</v>
      </c>
      <c r="H72" s="50">
        <v>0</v>
      </c>
      <c r="I72" s="50">
        <v>1995</v>
      </c>
      <c r="J72">
        <v>8.0000000000000004E-4</v>
      </c>
      <c r="K72" s="50" t="s">
        <v>273</v>
      </c>
      <c r="L72" s="50">
        <v>2.2999999999999998</v>
      </c>
      <c r="M72" s="50" t="s">
        <v>178</v>
      </c>
      <c r="N72" s="52"/>
      <c r="O72">
        <f t="shared" si="1"/>
        <v>0.32819634703196343</v>
      </c>
    </row>
    <row r="73" spans="1:15">
      <c r="A73" s="53" t="s">
        <v>374</v>
      </c>
      <c r="B73" s="51"/>
      <c r="C73" s="50" t="s">
        <v>175</v>
      </c>
      <c r="D73">
        <v>8.0000000000000004E-4</v>
      </c>
      <c r="E73" s="50" t="s">
        <v>191</v>
      </c>
      <c r="F73" s="50">
        <v>0</v>
      </c>
      <c r="G73" s="50" t="s">
        <v>176</v>
      </c>
      <c r="H73" s="50">
        <v>0</v>
      </c>
      <c r="I73" s="50">
        <v>1995</v>
      </c>
      <c r="J73">
        <v>8.0000000000000004E-4</v>
      </c>
      <c r="K73" s="50" t="s">
        <v>273</v>
      </c>
      <c r="L73" s="50">
        <v>0.2</v>
      </c>
      <c r="M73" s="50" t="s">
        <v>178</v>
      </c>
      <c r="N73" s="52"/>
      <c r="O73">
        <f t="shared" si="1"/>
        <v>2.8538812785388126E-2</v>
      </c>
    </row>
    <row r="74" spans="1:15">
      <c r="A74" s="53" t="s">
        <v>376</v>
      </c>
      <c r="B74" s="51"/>
      <c r="C74" s="50" t="s">
        <v>94</v>
      </c>
      <c r="D74">
        <v>0</v>
      </c>
      <c r="E74" s="50" t="s">
        <v>191</v>
      </c>
      <c r="F74" s="50">
        <v>0</v>
      </c>
      <c r="G74" s="50" t="s">
        <v>176</v>
      </c>
      <c r="H74" s="50">
        <v>0</v>
      </c>
      <c r="I74" s="50">
        <v>1995</v>
      </c>
      <c r="J74">
        <v>0</v>
      </c>
      <c r="K74" s="50" t="s">
        <v>324</v>
      </c>
      <c r="L74" s="50">
        <v>0</v>
      </c>
      <c r="M74" s="50" t="s">
        <v>178</v>
      </c>
      <c r="N74" s="52"/>
      <c r="O74" t="e">
        <f t="shared" si="1"/>
        <v>#DIV/0!</v>
      </c>
    </row>
    <row r="75" spans="1:15">
      <c r="A75" s="53" t="s">
        <v>389</v>
      </c>
      <c r="B75" s="51"/>
      <c r="C75" s="50" t="s">
        <v>94</v>
      </c>
      <c r="D75">
        <v>0</v>
      </c>
      <c r="E75" s="50" t="s">
        <v>191</v>
      </c>
      <c r="F75" s="50">
        <v>0</v>
      </c>
      <c r="G75" s="50" t="s">
        <v>176</v>
      </c>
      <c r="H75" s="50">
        <v>0</v>
      </c>
      <c r="I75" s="50">
        <v>1995</v>
      </c>
      <c r="J75">
        <v>0</v>
      </c>
      <c r="K75" s="50" t="s">
        <v>324</v>
      </c>
      <c r="L75" s="50">
        <v>0</v>
      </c>
      <c r="M75" s="50" t="s">
        <v>178</v>
      </c>
      <c r="N75" s="52"/>
      <c r="O75" t="e">
        <f t="shared" si="1"/>
        <v>#DIV/0!</v>
      </c>
    </row>
    <row r="76" spans="1:15">
      <c r="A76" s="50" t="s">
        <v>195</v>
      </c>
      <c r="B76" s="51"/>
      <c r="C76" s="50" t="s">
        <v>118</v>
      </c>
      <c r="D76">
        <v>0.01</v>
      </c>
      <c r="E76" s="50" t="s">
        <v>191</v>
      </c>
      <c r="F76" s="50">
        <v>12500</v>
      </c>
      <c r="G76" s="50" t="s">
        <v>176</v>
      </c>
      <c r="H76" s="50">
        <v>0</v>
      </c>
      <c r="I76" s="50">
        <v>1996</v>
      </c>
      <c r="J76">
        <v>0.01</v>
      </c>
      <c r="K76" s="50" t="s">
        <v>196</v>
      </c>
      <c r="L76" s="50">
        <v>54</v>
      </c>
      <c r="M76" s="50" t="s">
        <v>178</v>
      </c>
      <c r="N76" s="51"/>
      <c r="O76">
        <f t="shared" si="1"/>
        <v>0.61643835616438358</v>
      </c>
    </row>
    <row r="77" spans="1:15">
      <c r="A77" s="50" t="s">
        <v>216</v>
      </c>
      <c r="B77" s="51"/>
      <c r="C77" s="50" t="s">
        <v>140</v>
      </c>
      <c r="D77">
        <v>8.4499999999999992E-3</v>
      </c>
      <c r="E77" s="50" t="s">
        <v>140</v>
      </c>
      <c r="F77" s="50">
        <v>0</v>
      </c>
      <c r="G77" s="50" t="s">
        <v>176</v>
      </c>
      <c r="H77" s="50">
        <v>0</v>
      </c>
      <c r="I77" s="50">
        <v>1996</v>
      </c>
      <c r="J77">
        <v>8.4499999999999992E-3</v>
      </c>
      <c r="K77" s="50" t="s">
        <v>217</v>
      </c>
      <c r="L77" s="50">
        <v>22</v>
      </c>
      <c r="M77" s="50" t="s">
        <v>178</v>
      </c>
      <c r="N77" s="52"/>
      <c r="O77">
        <f t="shared" si="1"/>
        <v>0.29720893788333197</v>
      </c>
    </row>
    <row r="78" spans="1:15">
      <c r="A78" s="50" t="s">
        <v>259</v>
      </c>
      <c r="B78" s="51"/>
      <c r="C78" s="50" t="s">
        <v>118</v>
      </c>
      <c r="D78">
        <v>6.9599999999999995E-2</v>
      </c>
      <c r="E78" s="50" t="s">
        <v>191</v>
      </c>
      <c r="F78" s="50">
        <v>9300</v>
      </c>
      <c r="G78" s="50" t="s">
        <v>233</v>
      </c>
      <c r="H78" s="50">
        <v>0</v>
      </c>
      <c r="I78" s="50">
        <v>1996</v>
      </c>
      <c r="J78">
        <v>6.9599999999999995E-2</v>
      </c>
      <c r="K78" s="50" t="s">
        <v>260</v>
      </c>
      <c r="L78" s="50">
        <v>180</v>
      </c>
      <c r="M78" s="50" t="s">
        <v>178</v>
      </c>
      <c r="N78" s="52"/>
      <c r="O78">
        <f t="shared" si="1"/>
        <v>0.29522909777987721</v>
      </c>
    </row>
    <row r="79" spans="1:15">
      <c r="A79" s="50" t="s">
        <v>209</v>
      </c>
      <c r="B79" s="51"/>
      <c r="C79" s="50" t="s">
        <v>118</v>
      </c>
      <c r="D79">
        <v>0.112</v>
      </c>
      <c r="E79" s="50" t="s">
        <v>191</v>
      </c>
      <c r="F79" s="50">
        <v>0</v>
      </c>
      <c r="G79" s="50" t="s">
        <v>176</v>
      </c>
      <c r="H79" s="50">
        <v>0</v>
      </c>
      <c r="I79" s="50">
        <v>1997</v>
      </c>
      <c r="J79">
        <v>0.112</v>
      </c>
      <c r="K79" s="50" t="s">
        <v>210</v>
      </c>
      <c r="L79" s="50">
        <v>550</v>
      </c>
      <c r="M79" s="50" t="s">
        <v>178</v>
      </c>
      <c r="N79" s="52"/>
      <c r="O79">
        <f t="shared" si="1"/>
        <v>0.56058382257012385</v>
      </c>
    </row>
    <row r="80" spans="1:15">
      <c r="A80" s="50" t="s">
        <v>325</v>
      </c>
      <c r="B80" s="51"/>
      <c r="C80" s="50" t="s">
        <v>138</v>
      </c>
      <c r="D80">
        <v>5.5E-2</v>
      </c>
      <c r="E80" s="50" t="s">
        <v>138</v>
      </c>
      <c r="F80" s="50">
        <v>0</v>
      </c>
      <c r="G80" s="50" t="s">
        <v>176</v>
      </c>
      <c r="H80" s="50">
        <v>0</v>
      </c>
      <c r="I80" s="50">
        <v>1997</v>
      </c>
      <c r="J80">
        <v>5.5E-2</v>
      </c>
      <c r="K80" s="50" t="s">
        <v>326</v>
      </c>
      <c r="L80" s="50">
        <v>350</v>
      </c>
      <c r="M80" s="50" t="s">
        <v>178</v>
      </c>
      <c r="N80" s="52"/>
      <c r="O80">
        <f t="shared" si="1"/>
        <v>0.72644250726442516</v>
      </c>
    </row>
    <row r="81" spans="1:15">
      <c r="A81" s="50" t="s">
        <v>336</v>
      </c>
      <c r="B81" s="51"/>
      <c r="C81" s="50" t="s">
        <v>138</v>
      </c>
      <c r="D81">
        <v>3.3000000000000002E-2</v>
      </c>
      <c r="E81" s="50" t="s">
        <v>138</v>
      </c>
      <c r="F81" s="50">
        <v>0</v>
      </c>
      <c r="G81" s="50" t="s">
        <v>176</v>
      </c>
      <c r="H81" s="50">
        <v>0</v>
      </c>
      <c r="I81" s="50">
        <v>1997</v>
      </c>
      <c r="J81">
        <v>3.4000000000000002E-2</v>
      </c>
      <c r="K81" s="50" t="s">
        <v>337</v>
      </c>
      <c r="L81" s="50">
        <v>210</v>
      </c>
      <c r="M81" s="50" t="s">
        <v>178</v>
      </c>
      <c r="N81" s="52"/>
      <c r="O81">
        <f t="shared" si="1"/>
        <v>0.7050765511684125</v>
      </c>
    </row>
    <row r="82" spans="1:15">
      <c r="A82" s="50" t="s">
        <v>242</v>
      </c>
      <c r="B82" s="51"/>
      <c r="C82" s="50" t="s">
        <v>118</v>
      </c>
      <c r="D82">
        <v>2.5000000000000001E-2</v>
      </c>
      <c r="E82" s="50" t="s">
        <v>191</v>
      </c>
      <c r="F82" s="50">
        <v>0</v>
      </c>
      <c r="G82" s="50" t="s">
        <v>176</v>
      </c>
      <c r="H82" s="50">
        <v>0</v>
      </c>
      <c r="I82" s="50">
        <v>1998</v>
      </c>
      <c r="J82">
        <v>2.5000000000000001E-2</v>
      </c>
      <c r="K82" s="50" t="s">
        <v>243</v>
      </c>
      <c r="L82" s="50">
        <v>130</v>
      </c>
      <c r="M82" s="50" t="s">
        <v>178</v>
      </c>
      <c r="N82" s="52"/>
      <c r="O82">
        <f t="shared" si="1"/>
        <v>0.59360730593607303</v>
      </c>
    </row>
    <row r="83" spans="1:15">
      <c r="A83" s="50" t="s">
        <v>257</v>
      </c>
      <c r="B83" s="51"/>
      <c r="C83" s="50" t="s">
        <v>118</v>
      </c>
      <c r="D83">
        <v>2.8000000000000001E-2</v>
      </c>
      <c r="E83" s="50" t="s">
        <v>203</v>
      </c>
      <c r="F83" s="50">
        <v>0</v>
      </c>
      <c r="G83" s="50" t="s">
        <v>191</v>
      </c>
      <c r="H83" s="50">
        <v>11000</v>
      </c>
      <c r="I83" s="50">
        <v>1998</v>
      </c>
      <c r="J83">
        <v>2.8000000000000001E-2</v>
      </c>
      <c r="K83" s="50" t="s">
        <v>258</v>
      </c>
      <c r="L83" s="50">
        <v>250</v>
      </c>
      <c r="M83" s="50" t="s">
        <v>178</v>
      </c>
      <c r="N83" s="52"/>
      <c r="O83">
        <f t="shared" si="1"/>
        <v>1.0192433137638617</v>
      </c>
    </row>
    <row r="84" spans="1:15">
      <c r="A84" s="50" t="s">
        <v>303</v>
      </c>
      <c r="B84" s="51"/>
      <c r="C84" s="50" t="s">
        <v>138</v>
      </c>
      <c r="D84">
        <v>2.5000000000000001E-2</v>
      </c>
      <c r="E84" s="50" t="s">
        <v>138</v>
      </c>
      <c r="F84" s="50">
        <v>0</v>
      </c>
      <c r="G84" s="50" t="s">
        <v>176</v>
      </c>
      <c r="H84" s="50">
        <v>0</v>
      </c>
      <c r="I84" s="50">
        <v>1998</v>
      </c>
      <c r="J84">
        <v>2.5000000000000001E-2</v>
      </c>
      <c r="K84" s="50" t="s">
        <v>304</v>
      </c>
      <c r="L84" s="50">
        <v>200</v>
      </c>
      <c r="M84" s="50" t="s">
        <v>178</v>
      </c>
      <c r="N84" s="52"/>
      <c r="O84">
        <f t="shared" si="1"/>
        <v>0.91324200913242004</v>
      </c>
    </row>
    <row r="85" spans="1:15">
      <c r="A85" s="50" t="s">
        <v>349</v>
      </c>
      <c r="B85" s="51"/>
      <c r="C85" s="50" t="s">
        <v>94</v>
      </c>
      <c r="D85">
        <v>0.38500000000000001</v>
      </c>
      <c r="E85" s="50" t="s">
        <v>191</v>
      </c>
      <c r="F85" s="50">
        <v>7600</v>
      </c>
      <c r="G85" s="50" t="s">
        <v>176</v>
      </c>
      <c r="H85" s="50">
        <v>0</v>
      </c>
      <c r="I85" s="50">
        <v>1998</v>
      </c>
      <c r="J85">
        <v>0.38500000000000001</v>
      </c>
      <c r="K85" s="50" t="s">
        <v>350</v>
      </c>
      <c r="L85" s="50">
        <v>2200</v>
      </c>
      <c r="M85" s="50" t="s">
        <v>178</v>
      </c>
      <c r="N85" s="52"/>
      <c r="O85">
        <f t="shared" si="1"/>
        <v>0.65231572080887146</v>
      </c>
    </row>
    <row r="86" spans="1:15">
      <c r="A86" s="50" t="s">
        <v>344</v>
      </c>
      <c r="B86" s="50" t="s">
        <v>345</v>
      </c>
      <c r="C86" s="50" t="s">
        <v>140</v>
      </c>
      <c r="D86">
        <v>3.1699999999999999E-2</v>
      </c>
      <c r="E86" s="50" t="s">
        <v>140</v>
      </c>
      <c r="F86" s="50">
        <v>0</v>
      </c>
      <c r="G86" s="50" t="s">
        <v>176</v>
      </c>
      <c r="H86" s="50">
        <v>0</v>
      </c>
      <c r="I86" s="50">
        <v>1999</v>
      </c>
      <c r="J86">
        <v>3.1699999999999999E-2</v>
      </c>
      <c r="K86" s="50" t="s">
        <v>346</v>
      </c>
      <c r="L86" s="50">
        <v>128</v>
      </c>
      <c r="M86" s="50" t="s">
        <v>178</v>
      </c>
      <c r="N86" s="52"/>
      <c r="O86">
        <f t="shared" si="1"/>
        <v>0.46094233899428144</v>
      </c>
    </row>
    <row r="87" spans="1:15">
      <c r="A87" s="50" t="s">
        <v>357</v>
      </c>
      <c r="B87" s="51"/>
      <c r="C87" s="50" t="s">
        <v>118</v>
      </c>
      <c r="D87">
        <v>4.3999999999999997E-2</v>
      </c>
      <c r="E87" s="50" t="s">
        <v>191</v>
      </c>
      <c r="F87" s="50">
        <v>12600</v>
      </c>
      <c r="G87" s="50" t="s">
        <v>176</v>
      </c>
      <c r="H87" s="50">
        <v>0</v>
      </c>
      <c r="I87" s="50">
        <v>1999</v>
      </c>
      <c r="J87">
        <v>4.3999999999999997E-2</v>
      </c>
      <c r="K87" s="50" t="s">
        <v>358</v>
      </c>
      <c r="L87" s="50">
        <v>200</v>
      </c>
      <c r="M87" s="50" t="s">
        <v>178</v>
      </c>
      <c r="N87" s="52"/>
      <c r="O87">
        <f t="shared" si="1"/>
        <v>0.51888750518887505</v>
      </c>
    </row>
    <row r="88" spans="1:15">
      <c r="A88" s="50" t="s">
        <v>202</v>
      </c>
      <c r="B88" s="51"/>
      <c r="C88" s="50" t="s">
        <v>94</v>
      </c>
      <c r="D88">
        <v>3.5000000000000001E-3</v>
      </c>
      <c r="E88" s="50" t="s">
        <v>203</v>
      </c>
      <c r="F88" s="50">
        <v>0</v>
      </c>
      <c r="G88" s="50" t="s">
        <v>176</v>
      </c>
      <c r="H88" s="50">
        <v>0</v>
      </c>
      <c r="I88" s="50">
        <v>2000</v>
      </c>
      <c r="J88">
        <v>3.5000000000000001E-3</v>
      </c>
      <c r="K88" s="50" t="s">
        <v>204</v>
      </c>
      <c r="L88" s="50">
        <v>26</v>
      </c>
      <c r="M88" s="50" t="s">
        <v>178</v>
      </c>
      <c r="N88" s="51"/>
      <c r="O88">
        <f t="shared" si="1"/>
        <v>0.84801043705153289</v>
      </c>
    </row>
    <row r="89" spans="1:15">
      <c r="A89" s="50" t="s">
        <v>205</v>
      </c>
      <c r="B89" s="51"/>
      <c r="C89" s="50" t="s">
        <v>94</v>
      </c>
      <c r="D89">
        <v>2.9999999999999997E-4</v>
      </c>
      <c r="E89" s="50" t="s">
        <v>191</v>
      </c>
      <c r="F89" s="50">
        <v>0</v>
      </c>
      <c r="G89" s="50" t="s">
        <v>176</v>
      </c>
      <c r="H89" s="50">
        <v>0</v>
      </c>
      <c r="I89" s="50">
        <v>2000</v>
      </c>
      <c r="J89">
        <v>2.9999999999999997E-4</v>
      </c>
      <c r="K89" s="50" t="s">
        <v>206</v>
      </c>
      <c r="L89" s="50">
        <v>0</v>
      </c>
      <c r="M89" s="50" t="s">
        <v>178</v>
      </c>
      <c r="N89" s="51"/>
      <c r="O89">
        <f t="shared" si="1"/>
        <v>0</v>
      </c>
    </row>
    <row r="90" spans="1:15">
      <c r="A90" s="50" t="s">
        <v>247</v>
      </c>
      <c r="B90" s="51"/>
      <c r="C90" s="50" t="s">
        <v>118</v>
      </c>
      <c r="D90">
        <v>2.7E-2</v>
      </c>
      <c r="E90" s="50" t="s">
        <v>203</v>
      </c>
      <c r="F90" s="50">
        <v>0</v>
      </c>
      <c r="G90" s="50" t="s">
        <v>176</v>
      </c>
      <c r="H90" s="50">
        <v>0</v>
      </c>
      <c r="I90" s="50">
        <v>2000</v>
      </c>
      <c r="J90">
        <v>2.7E-2</v>
      </c>
      <c r="K90" s="50" t="s">
        <v>248</v>
      </c>
      <c r="L90" s="50">
        <v>118</v>
      </c>
      <c r="M90" s="50" t="s">
        <v>178</v>
      </c>
      <c r="N90" s="52"/>
      <c r="O90">
        <f t="shared" si="1"/>
        <v>0.49890072721122952</v>
      </c>
    </row>
    <row r="91" spans="1:15">
      <c r="A91" s="50" t="s">
        <v>294</v>
      </c>
      <c r="B91" s="51"/>
      <c r="C91" s="50" t="s">
        <v>138</v>
      </c>
      <c r="D91">
        <v>0.112</v>
      </c>
      <c r="E91" s="50" t="s">
        <v>138</v>
      </c>
      <c r="F91" s="50">
        <v>0</v>
      </c>
      <c r="G91" s="50" t="s">
        <v>176</v>
      </c>
      <c r="H91" s="50">
        <v>0</v>
      </c>
      <c r="I91" s="50">
        <v>2000</v>
      </c>
      <c r="J91">
        <v>0.112</v>
      </c>
      <c r="K91" s="50" t="s">
        <v>295</v>
      </c>
      <c r="L91" s="50">
        <v>900</v>
      </c>
      <c r="M91" s="50" t="s">
        <v>178</v>
      </c>
      <c r="N91" s="51"/>
      <c r="O91">
        <f t="shared" si="1"/>
        <v>0.91731898238747545</v>
      </c>
    </row>
    <row r="92" spans="1:15">
      <c r="A92" s="50" t="s">
        <v>334</v>
      </c>
      <c r="B92" s="51"/>
      <c r="C92" s="50" t="s">
        <v>212</v>
      </c>
      <c r="D92">
        <v>7.0000000000000001E-3</v>
      </c>
      <c r="E92" s="50" t="s">
        <v>142</v>
      </c>
      <c r="F92" s="50">
        <v>0</v>
      </c>
      <c r="G92" s="50" t="s">
        <v>176</v>
      </c>
      <c r="H92" s="50">
        <v>0</v>
      </c>
      <c r="I92" s="50">
        <v>2000</v>
      </c>
      <c r="J92">
        <v>7.0000000000000001E-3</v>
      </c>
      <c r="K92" s="50" t="s">
        <v>215</v>
      </c>
      <c r="L92" s="50">
        <v>50</v>
      </c>
      <c r="M92" s="50" t="s">
        <v>178</v>
      </c>
      <c r="N92" s="52"/>
      <c r="O92">
        <f t="shared" si="1"/>
        <v>0.81539465101108943</v>
      </c>
    </row>
    <row r="93" spans="1:15">
      <c r="A93" s="50" t="s">
        <v>340</v>
      </c>
      <c r="B93" s="51"/>
      <c r="C93" s="50" t="s">
        <v>212</v>
      </c>
      <c r="D93">
        <v>1.1000000000000001E-3</v>
      </c>
      <c r="E93" s="50" t="s">
        <v>142</v>
      </c>
      <c r="F93" s="50">
        <v>0</v>
      </c>
      <c r="G93" s="50" t="s">
        <v>176</v>
      </c>
      <c r="H93" s="50">
        <v>0</v>
      </c>
      <c r="I93" s="50">
        <v>2000</v>
      </c>
      <c r="J93">
        <v>1.1000000000000001E-3</v>
      </c>
      <c r="K93" s="50" t="s">
        <v>341</v>
      </c>
      <c r="L93" s="50">
        <v>6</v>
      </c>
      <c r="M93" s="50" t="s">
        <v>178</v>
      </c>
      <c r="N93" s="52"/>
      <c r="O93">
        <f t="shared" si="1"/>
        <v>0.62266500622665</v>
      </c>
    </row>
    <row r="94" spans="1:15">
      <c r="A94" s="50" t="s">
        <v>393</v>
      </c>
      <c r="B94" s="51"/>
      <c r="C94" s="50" t="s">
        <v>212</v>
      </c>
      <c r="D94">
        <v>3.0000000000000001E-3</v>
      </c>
      <c r="E94" s="50" t="s">
        <v>142</v>
      </c>
      <c r="F94" s="50">
        <v>0</v>
      </c>
      <c r="G94" s="50" t="s">
        <v>176</v>
      </c>
      <c r="H94" s="50">
        <v>0</v>
      </c>
      <c r="I94" s="50">
        <v>2000</v>
      </c>
      <c r="J94">
        <v>3.0000000000000001E-3</v>
      </c>
      <c r="K94" s="50" t="s">
        <v>215</v>
      </c>
      <c r="L94" s="50">
        <v>20</v>
      </c>
      <c r="M94" s="50" t="s">
        <v>178</v>
      </c>
      <c r="N94" s="52"/>
      <c r="O94">
        <f t="shared" si="1"/>
        <v>0.76103500761035014</v>
      </c>
    </row>
    <row r="95" spans="1:15">
      <c r="A95" s="50" t="s">
        <v>378</v>
      </c>
      <c r="B95" s="51"/>
      <c r="C95" s="50" t="s">
        <v>118</v>
      </c>
      <c r="D95">
        <v>7.0000000000000001E-3</v>
      </c>
      <c r="E95" s="50" t="s">
        <v>142</v>
      </c>
      <c r="F95" s="50">
        <v>0</v>
      </c>
      <c r="G95" s="50" t="s">
        <v>176</v>
      </c>
      <c r="H95" s="50">
        <v>0</v>
      </c>
      <c r="I95" s="50">
        <v>2003</v>
      </c>
      <c r="J95">
        <v>7.0000000000000001E-3</v>
      </c>
      <c r="K95" s="50" t="s">
        <v>379</v>
      </c>
      <c r="L95" s="50">
        <v>0.1</v>
      </c>
      <c r="M95" s="50" t="s">
        <v>178</v>
      </c>
      <c r="N95" s="52"/>
      <c r="O95">
        <f t="shared" si="1"/>
        <v>1.6307893020221789E-3</v>
      </c>
    </row>
    <row r="96" spans="1:15">
      <c r="A96" s="50" t="s">
        <v>225</v>
      </c>
      <c r="B96" s="51"/>
      <c r="C96" s="50" t="s">
        <v>212</v>
      </c>
      <c r="D96">
        <v>8.9999999999999998E-4</v>
      </c>
      <c r="E96" s="50" t="s">
        <v>142</v>
      </c>
      <c r="F96" s="50">
        <v>0</v>
      </c>
      <c r="G96" s="50" t="s">
        <v>176</v>
      </c>
      <c r="H96" s="50">
        <v>0</v>
      </c>
      <c r="I96" s="50">
        <v>2004</v>
      </c>
      <c r="J96">
        <v>8.9999999999999998E-4</v>
      </c>
      <c r="K96" s="50" t="s">
        <v>226</v>
      </c>
      <c r="L96" s="50">
        <v>7</v>
      </c>
      <c r="M96" s="50" t="s">
        <v>178</v>
      </c>
      <c r="N96" s="52"/>
      <c r="O96">
        <f t="shared" si="1"/>
        <v>0.88787417554540848</v>
      </c>
    </row>
    <row r="97" spans="1:15">
      <c r="A97" s="50" t="s">
        <v>232</v>
      </c>
      <c r="B97" s="51"/>
      <c r="C97" s="50" t="s">
        <v>94</v>
      </c>
      <c r="D97">
        <v>4.8000000000000001E-2</v>
      </c>
      <c r="E97" s="50" t="s">
        <v>191</v>
      </c>
      <c r="F97" s="50">
        <v>9800</v>
      </c>
      <c r="G97" s="50" t="s">
        <v>233</v>
      </c>
      <c r="H97" s="50">
        <v>9600</v>
      </c>
      <c r="I97" s="50">
        <v>2004</v>
      </c>
      <c r="J97">
        <v>4.8000000000000001E-2</v>
      </c>
      <c r="K97" s="50" t="s">
        <v>234</v>
      </c>
      <c r="L97" s="50">
        <v>335</v>
      </c>
      <c r="M97" s="50" t="s">
        <v>178</v>
      </c>
      <c r="N97" s="52"/>
      <c r="O97">
        <f t="shared" si="1"/>
        <v>0.79670852359208522</v>
      </c>
    </row>
    <row r="98" spans="1:15">
      <c r="A98" s="50" t="s">
        <v>347</v>
      </c>
      <c r="B98" s="50" t="s">
        <v>345</v>
      </c>
      <c r="C98" s="50" t="s">
        <v>140</v>
      </c>
      <c r="D98">
        <v>3.6299999999999999E-2</v>
      </c>
      <c r="E98" s="50" t="s">
        <v>140</v>
      </c>
      <c r="F98" s="50">
        <v>0</v>
      </c>
      <c r="G98" s="50" t="s">
        <v>176</v>
      </c>
      <c r="H98" s="50">
        <v>0</v>
      </c>
      <c r="I98" s="50">
        <v>2004</v>
      </c>
      <c r="J98">
        <v>3.6299999999999999E-2</v>
      </c>
      <c r="K98" s="50" t="s">
        <v>346</v>
      </c>
      <c r="L98" s="50">
        <v>147</v>
      </c>
      <c r="M98" s="50" t="s">
        <v>178</v>
      </c>
      <c r="N98" s="52"/>
      <c r="O98">
        <f t="shared" si="1"/>
        <v>0.4622815955319069</v>
      </c>
    </row>
    <row r="99" spans="1:15">
      <c r="A99" s="50" t="s">
        <v>351</v>
      </c>
      <c r="B99" s="51"/>
      <c r="C99" s="50" t="s">
        <v>140</v>
      </c>
      <c r="D99">
        <v>9.0749999999999997E-2</v>
      </c>
      <c r="E99" s="50" t="s">
        <v>140</v>
      </c>
      <c r="F99" s="50">
        <v>0</v>
      </c>
      <c r="G99" s="50" t="s">
        <v>176</v>
      </c>
      <c r="H99" s="50">
        <v>0</v>
      </c>
      <c r="I99" s="50">
        <v>2004</v>
      </c>
      <c r="J99">
        <v>9.0749999999999997E-2</v>
      </c>
      <c r="K99" s="50" t="s">
        <v>352</v>
      </c>
      <c r="L99" s="50">
        <v>258</v>
      </c>
      <c r="M99" s="50" t="s">
        <v>178</v>
      </c>
      <c r="N99" s="52"/>
      <c r="O99">
        <f t="shared" si="1"/>
        <v>0.32454054869995091</v>
      </c>
    </row>
    <row r="100" spans="1:15">
      <c r="A100" s="50" t="s">
        <v>391</v>
      </c>
      <c r="B100" s="51"/>
      <c r="C100" s="50" t="s">
        <v>94</v>
      </c>
      <c r="D100">
        <v>0.155</v>
      </c>
      <c r="E100" s="50" t="s">
        <v>133</v>
      </c>
      <c r="F100" s="50">
        <v>11000</v>
      </c>
      <c r="G100" s="50" t="s">
        <v>176</v>
      </c>
      <c r="H100" s="50">
        <v>0</v>
      </c>
      <c r="I100" s="50">
        <v>2004</v>
      </c>
      <c r="J100">
        <v>0.155</v>
      </c>
      <c r="K100" s="50" t="s">
        <v>392</v>
      </c>
      <c r="L100" s="50">
        <v>9</v>
      </c>
      <c r="M100" s="50" t="s">
        <v>178</v>
      </c>
      <c r="N100" s="52"/>
      <c r="O100">
        <f t="shared" si="1"/>
        <v>6.6283694211224037E-3</v>
      </c>
    </row>
    <row r="101" spans="1:15">
      <c r="A101" s="50" t="s">
        <v>190</v>
      </c>
      <c r="B101" s="51"/>
      <c r="C101" s="50" t="s">
        <v>118</v>
      </c>
      <c r="D101">
        <v>3.5999999999999999E-3</v>
      </c>
      <c r="E101" s="50" t="s">
        <v>191</v>
      </c>
      <c r="F101" s="50">
        <v>0</v>
      </c>
      <c r="G101" s="50" t="s">
        <v>133</v>
      </c>
      <c r="H101" s="50">
        <v>0</v>
      </c>
      <c r="I101" s="50">
        <v>2005</v>
      </c>
      <c r="J101">
        <v>3.5999999999999999E-3</v>
      </c>
      <c r="K101" s="50" t="s">
        <v>192</v>
      </c>
      <c r="L101" s="50">
        <v>7</v>
      </c>
      <c r="M101" s="50" t="s">
        <v>178</v>
      </c>
      <c r="N101" s="51"/>
      <c r="O101">
        <f t="shared" si="1"/>
        <v>0.22196854388635212</v>
      </c>
    </row>
    <row r="102" spans="1:15">
      <c r="A102" s="50" t="s">
        <v>313</v>
      </c>
      <c r="B102" s="51"/>
      <c r="C102" s="50" t="s">
        <v>118</v>
      </c>
      <c r="D102">
        <v>1.2800000000000001E-2</v>
      </c>
      <c r="E102" s="50" t="s">
        <v>203</v>
      </c>
      <c r="F102" s="51"/>
      <c r="G102" s="50" t="s">
        <v>176</v>
      </c>
      <c r="H102" s="50">
        <v>0</v>
      </c>
      <c r="I102" s="50">
        <v>2005</v>
      </c>
      <c r="J102">
        <v>1.2800000000000001E-2</v>
      </c>
      <c r="K102" s="50" t="s">
        <v>314</v>
      </c>
      <c r="L102" s="50">
        <v>48</v>
      </c>
      <c r="M102" s="50" t="s">
        <v>178</v>
      </c>
      <c r="N102" s="52"/>
      <c r="O102">
        <f t="shared" si="1"/>
        <v>0.42808219178082191</v>
      </c>
    </row>
    <row r="103" spans="1:15">
      <c r="A103" s="50" t="s">
        <v>230</v>
      </c>
      <c r="B103" s="51"/>
      <c r="C103" s="50" t="s">
        <v>94</v>
      </c>
      <c r="D103">
        <v>0.4</v>
      </c>
      <c r="E103" s="50" t="s">
        <v>191</v>
      </c>
      <c r="F103" s="50">
        <v>7200</v>
      </c>
      <c r="G103" s="50" t="s">
        <v>176</v>
      </c>
      <c r="H103" s="50">
        <v>0</v>
      </c>
      <c r="I103" s="50">
        <v>2007</v>
      </c>
      <c r="J103">
        <v>0.4</v>
      </c>
      <c r="K103" s="50" t="s">
        <v>231</v>
      </c>
      <c r="L103" s="50">
        <v>2410</v>
      </c>
      <c r="M103" s="50" t="s">
        <v>178</v>
      </c>
      <c r="N103" s="52"/>
      <c r="O103">
        <f t="shared" si="1"/>
        <v>0.68778538812785384</v>
      </c>
    </row>
    <row r="104" spans="1:15">
      <c r="A104" s="50" t="s">
        <v>327</v>
      </c>
      <c r="B104" s="51"/>
      <c r="C104" s="50" t="s">
        <v>94</v>
      </c>
      <c r="D104">
        <v>0</v>
      </c>
      <c r="E104" s="50" t="s">
        <v>133</v>
      </c>
      <c r="F104" s="50">
        <v>0</v>
      </c>
      <c r="G104" s="50" t="s">
        <v>176</v>
      </c>
      <c r="H104" s="50">
        <v>0</v>
      </c>
      <c r="I104" s="50">
        <v>2007</v>
      </c>
      <c r="J104">
        <v>0</v>
      </c>
      <c r="K104" s="50" t="s">
        <v>324</v>
      </c>
      <c r="L104" s="50">
        <v>0</v>
      </c>
      <c r="M104" s="50" t="s">
        <v>178</v>
      </c>
      <c r="N104" s="52"/>
      <c r="O104" t="e">
        <f t="shared" si="1"/>
        <v>#DIV/0!</v>
      </c>
    </row>
    <row r="105" spans="1:15">
      <c r="A105" s="50" t="s">
        <v>348</v>
      </c>
      <c r="B105" s="50" t="s">
        <v>345</v>
      </c>
      <c r="C105" s="50" t="s">
        <v>140</v>
      </c>
      <c r="D105">
        <v>9.2999999999999999E-2</v>
      </c>
      <c r="E105" s="50" t="s">
        <v>140</v>
      </c>
      <c r="F105" s="50">
        <v>0</v>
      </c>
      <c r="G105" s="50" t="s">
        <v>176</v>
      </c>
      <c r="H105" s="50">
        <v>0</v>
      </c>
      <c r="I105" s="50">
        <v>2007</v>
      </c>
      <c r="J105">
        <v>9.2999999999999999E-2</v>
      </c>
      <c r="K105" s="50" t="s">
        <v>264</v>
      </c>
      <c r="L105" s="50">
        <v>375</v>
      </c>
      <c r="M105" s="50" t="s">
        <v>178</v>
      </c>
      <c r="N105" s="52"/>
      <c r="O105">
        <f t="shared" si="1"/>
        <v>0.46030343202238916</v>
      </c>
    </row>
    <row r="106" spans="1:15">
      <c r="A106" s="50" t="s">
        <v>249</v>
      </c>
      <c r="B106" s="51"/>
      <c r="C106" s="50" t="s">
        <v>138</v>
      </c>
      <c r="D106">
        <v>8.3000000000000001E-3</v>
      </c>
      <c r="E106" s="50" t="s">
        <v>138</v>
      </c>
      <c r="F106" s="50">
        <v>0</v>
      </c>
      <c r="G106" s="50" t="s">
        <v>176</v>
      </c>
      <c r="H106" s="50">
        <v>0</v>
      </c>
      <c r="I106" s="50">
        <v>2008</v>
      </c>
      <c r="J106">
        <v>8.3000000000000001E-3</v>
      </c>
      <c r="K106" s="50" t="s">
        <v>250</v>
      </c>
      <c r="L106" s="50">
        <v>70</v>
      </c>
      <c r="M106" s="50" t="s">
        <v>178</v>
      </c>
      <c r="N106" s="52"/>
      <c r="O106">
        <f t="shared" si="1"/>
        <v>0.96275513010947911</v>
      </c>
    </row>
    <row r="107" spans="1:15">
      <c r="A107" s="50" t="s">
        <v>255</v>
      </c>
      <c r="B107" s="51"/>
      <c r="C107" s="50" t="s">
        <v>138</v>
      </c>
      <c r="D107">
        <v>0.1</v>
      </c>
      <c r="E107" s="50" t="s">
        <v>138</v>
      </c>
      <c r="F107" s="50">
        <v>0</v>
      </c>
      <c r="G107" s="50" t="s">
        <v>176</v>
      </c>
      <c r="H107" s="50">
        <v>0</v>
      </c>
      <c r="I107" s="50">
        <v>2008</v>
      </c>
      <c r="J107">
        <v>0.1</v>
      </c>
      <c r="K107" s="50" t="s">
        <v>256</v>
      </c>
      <c r="L107" s="50">
        <v>800</v>
      </c>
      <c r="M107" s="50" t="s">
        <v>178</v>
      </c>
      <c r="N107" s="52"/>
      <c r="O107">
        <f t="shared" si="1"/>
        <v>0.91324200913242004</v>
      </c>
    </row>
    <row r="108" spans="1:15">
      <c r="A108" s="50" t="s">
        <v>272</v>
      </c>
      <c r="B108" s="51"/>
      <c r="C108" s="50" t="s">
        <v>137</v>
      </c>
      <c r="D108">
        <v>1.6000000000000001E-3</v>
      </c>
      <c r="E108" s="50" t="s">
        <v>137</v>
      </c>
      <c r="F108" s="50">
        <v>0</v>
      </c>
      <c r="G108" s="50" t="s">
        <v>176</v>
      </c>
      <c r="H108" s="50">
        <v>0</v>
      </c>
      <c r="I108" s="50">
        <v>2008</v>
      </c>
      <c r="J108">
        <v>1.6000000000000001E-3</v>
      </c>
      <c r="K108" s="50" t="s">
        <v>273</v>
      </c>
      <c r="L108" s="50">
        <v>5</v>
      </c>
      <c r="M108" s="50" t="s">
        <v>178</v>
      </c>
      <c r="N108" s="52"/>
      <c r="O108">
        <f t="shared" si="1"/>
        <v>0.3567351598173516</v>
      </c>
    </row>
    <row r="109" spans="1:15">
      <c r="A109" s="50" t="s">
        <v>361</v>
      </c>
      <c r="B109" s="51"/>
      <c r="C109" s="50" t="s">
        <v>212</v>
      </c>
      <c r="D109">
        <v>1E-3</v>
      </c>
      <c r="E109" s="50" t="s">
        <v>142</v>
      </c>
      <c r="F109" s="50">
        <v>0</v>
      </c>
      <c r="G109" s="50" t="s">
        <v>176</v>
      </c>
      <c r="H109" s="50">
        <v>0</v>
      </c>
      <c r="I109" s="50">
        <v>2008</v>
      </c>
      <c r="J109">
        <v>1E-3</v>
      </c>
      <c r="K109" s="50" t="s">
        <v>215</v>
      </c>
      <c r="L109" s="50">
        <v>7.5</v>
      </c>
      <c r="M109" s="50" t="s">
        <v>178</v>
      </c>
      <c r="N109" s="52"/>
      <c r="O109">
        <f t="shared" si="1"/>
        <v>0.85616438356164382</v>
      </c>
    </row>
    <row r="110" spans="1:15">
      <c r="A110" s="50" t="s">
        <v>214</v>
      </c>
      <c r="B110" s="51"/>
      <c r="C110" s="50" t="s">
        <v>212</v>
      </c>
      <c r="D110">
        <v>4.0000000000000001E-3</v>
      </c>
      <c r="E110" s="50" t="s">
        <v>142</v>
      </c>
      <c r="F110" s="50">
        <v>0</v>
      </c>
      <c r="G110" s="50" t="s">
        <v>176</v>
      </c>
      <c r="H110" s="50">
        <v>0</v>
      </c>
      <c r="I110" s="50">
        <v>2009</v>
      </c>
      <c r="J110">
        <v>4.0000000000000001E-3</v>
      </c>
      <c r="K110" s="50" t="s">
        <v>215</v>
      </c>
      <c r="L110" s="50">
        <v>28</v>
      </c>
      <c r="M110" s="50" t="s">
        <v>178</v>
      </c>
      <c r="N110" s="52"/>
      <c r="O110">
        <f t="shared" si="1"/>
        <v>0.79908675799086759</v>
      </c>
    </row>
    <row r="111" spans="1:15">
      <c r="A111" s="50" t="s">
        <v>270</v>
      </c>
      <c r="B111" s="51"/>
      <c r="C111" s="50" t="s">
        <v>94</v>
      </c>
      <c r="D111">
        <v>8.9999999999999993E-3</v>
      </c>
      <c r="E111" s="50" t="s">
        <v>191</v>
      </c>
      <c r="F111" s="50">
        <v>0</v>
      </c>
      <c r="G111" s="50" t="s">
        <v>176</v>
      </c>
      <c r="H111" s="50">
        <v>0</v>
      </c>
      <c r="I111" s="50">
        <v>2009</v>
      </c>
      <c r="J111">
        <v>8.9999999999999993E-3</v>
      </c>
      <c r="K111" s="50" t="s">
        <v>271</v>
      </c>
      <c r="L111" s="50">
        <v>50</v>
      </c>
      <c r="M111" s="50" t="s">
        <v>178</v>
      </c>
      <c r="N111" s="52"/>
      <c r="O111">
        <f t="shared" si="1"/>
        <v>0.63419583967529169</v>
      </c>
    </row>
    <row r="112" spans="1:15">
      <c r="A112" s="50" t="s">
        <v>287</v>
      </c>
      <c r="B112" s="51"/>
      <c r="C112" s="50" t="s">
        <v>137</v>
      </c>
      <c r="D112">
        <v>2E-3</v>
      </c>
      <c r="E112" s="50" t="s">
        <v>137</v>
      </c>
      <c r="F112" s="51"/>
      <c r="G112" s="50" t="s">
        <v>176</v>
      </c>
      <c r="H112" s="50">
        <v>0</v>
      </c>
      <c r="I112" s="50">
        <v>2009</v>
      </c>
      <c r="J112">
        <v>2E-3</v>
      </c>
      <c r="K112" s="50" t="s">
        <v>215</v>
      </c>
      <c r="L112" s="50">
        <v>10</v>
      </c>
      <c r="M112" s="50" t="s">
        <v>178</v>
      </c>
      <c r="N112" s="51"/>
      <c r="O112">
        <f t="shared" si="1"/>
        <v>0.57077625570776258</v>
      </c>
    </row>
    <row r="113" spans="1:15">
      <c r="A113" s="50" t="s">
        <v>387</v>
      </c>
      <c r="B113" s="51"/>
      <c r="C113" s="50" t="s">
        <v>140</v>
      </c>
      <c r="D113">
        <v>0.14299999999999999</v>
      </c>
      <c r="E113" s="50" t="s">
        <v>140</v>
      </c>
      <c r="F113" s="50">
        <v>0</v>
      </c>
      <c r="G113" s="50" t="s">
        <v>176</v>
      </c>
      <c r="H113" s="50">
        <v>0</v>
      </c>
      <c r="I113" s="50">
        <v>2009</v>
      </c>
      <c r="J113">
        <v>0.14299999999999999</v>
      </c>
      <c r="K113" s="50" t="s">
        <v>198</v>
      </c>
      <c r="L113" s="50">
        <v>550</v>
      </c>
      <c r="M113" s="50" t="s">
        <v>178</v>
      </c>
      <c r="N113" s="52"/>
      <c r="O113">
        <f t="shared" si="1"/>
        <v>0.43905865823674051</v>
      </c>
    </row>
    <row r="114" spans="1:15">
      <c r="A114" s="50" t="s">
        <v>300</v>
      </c>
      <c r="B114" s="51"/>
      <c r="C114" s="50" t="s">
        <v>138</v>
      </c>
      <c r="D114">
        <v>0.14000000000000001</v>
      </c>
      <c r="E114" s="50" t="s">
        <v>138</v>
      </c>
      <c r="F114" s="50">
        <v>0</v>
      </c>
      <c r="G114" s="50" t="s">
        <v>176</v>
      </c>
      <c r="H114" s="50">
        <v>0</v>
      </c>
      <c r="I114" s="50">
        <v>2010</v>
      </c>
      <c r="J114">
        <v>0.14000000000000001</v>
      </c>
      <c r="K114" s="50" t="s">
        <v>301</v>
      </c>
      <c r="L114" s="50">
        <v>1100</v>
      </c>
      <c r="M114" s="50" t="s">
        <v>178</v>
      </c>
      <c r="N114" s="52"/>
      <c r="O114">
        <f t="shared" si="1"/>
        <v>0.8969341161121982</v>
      </c>
    </row>
    <row r="115" spans="1:15">
      <c r="A115" s="50" t="s">
        <v>353</v>
      </c>
      <c r="B115" s="51"/>
      <c r="C115" s="50" t="s">
        <v>138</v>
      </c>
      <c r="D115">
        <v>2.3E-2</v>
      </c>
      <c r="E115" s="50" t="s">
        <v>138</v>
      </c>
      <c r="F115" s="50">
        <v>0</v>
      </c>
      <c r="G115" s="50" t="s">
        <v>176</v>
      </c>
      <c r="H115" s="50">
        <v>0</v>
      </c>
      <c r="I115" s="50">
        <v>2010</v>
      </c>
      <c r="J115">
        <v>2.3E-2</v>
      </c>
      <c r="K115" s="50" t="s">
        <v>354</v>
      </c>
      <c r="L115" s="50">
        <v>190</v>
      </c>
      <c r="M115" s="50" t="s">
        <v>178</v>
      </c>
      <c r="N115" s="52"/>
      <c r="O115">
        <f t="shared" si="1"/>
        <v>0.94302163986499909</v>
      </c>
    </row>
    <row r="116" spans="1:15">
      <c r="A116" s="50" t="s">
        <v>285</v>
      </c>
      <c r="B116" s="51"/>
      <c r="C116" s="50" t="s">
        <v>94</v>
      </c>
      <c r="D116">
        <v>8.9999999999999993E-3</v>
      </c>
      <c r="E116" s="50" t="s">
        <v>133</v>
      </c>
      <c r="F116" s="50">
        <v>0</v>
      </c>
      <c r="G116" s="50" t="s">
        <v>176</v>
      </c>
      <c r="H116" s="50">
        <v>0</v>
      </c>
      <c r="I116" s="50">
        <v>2011</v>
      </c>
      <c r="J116">
        <v>8.9999999999999993E-3</v>
      </c>
      <c r="K116" s="50" t="s">
        <v>192</v>
      </c>
      <c r="L116" s="50">
        <v>0</v>
      </c>
      <c r="M116" s="50" t="s">
        <v>178</v>
      </c>
      <c r="N116" s="51"/>
      <c r="O116">
        <f t="shared" si="1"/>
        <v>0</v>
      </c>
    </row>
    <row r="117" spans="1:15">
      <c r="A117" s="50" t="s">
        <v>343</v>
      </c>
      <c r="B117" s="51"/>
      <c r="C117" s="50" t="s">
        <v>94</v>
      </c>
      <c r="D117">
        <v>0.2</v>
      </c>
      <c r="E117" s="50" t="s">
        <v>191</v>
      </c>
      <c r="F117" s="50">
        <v>0</v>
      </c>
      <c r="G117" s="50" t="s">
        <v>176</v>
      </c>
      <c r="H117" s="50">
        <v>0</v>
      </c>
      <c r="I117" s="50">
        <v>2011</v>
      </c>
      <c r="J117">
        <v>0.2</v>
      </c>
      <c r="K117" s="50" t="s">
        <v>256</v>
      </c>
      <c r="L117" s="50">
        <v>350</v>
      </c>
      <c r="M117" s="50" t="s">
        <v>178</v>
      </c>
      <c r="N117" s="52"/>
      <c r="O117">
        <f t="shared" si="1"/>
        <v>0.1997716894977169</v>
      </c>
    </row>
    <row r="118" spans="1:15">
      <c r="A118" s="50" t="s">
        <v>359</v>
      </c>
      <c r="B118" s="51"/>
      <c r="C118" s="50" t="s">
        <v>140</v>
      </c>
      <c r="D118">
        <v>4.8500000000000001E-2</v>
      </c>
      <c r="E118" s="50" t="s">
        <v>140</v>
      </c>
      <c r="F118" s="50">
        <v>0</v>
      </c>
      <c r="G118" s="50" t="s">
        <v>176</v>
      </c>
      <c r="H118" s="50">
        <v>0</v>
      </c>
      <c r="I118" s="50">
        <v>2011</v>
      </c>
      <c r="J118">
        <v>4.8500000000000001E-2</v>
      </c>
      <c r="K118" s="50" t="s">
        <v>289</v>
      </c>
      <c r="L118" s="50">
        <v>160</v>
      </c>
      <c r="M118" s="50" t="s">
        <v>178</v>
      </c>
      <c r="N118" s="52"/>
      <c r="O118">
        <f t="shared" si="1"/>
        <v>0.37659464294120415</v>
      </c>
    </row>
    <row r="119" spans="1:15">
      <c r="A119" s="50" t="s">
        <v>360</v>
      </c>
      <c r="B119" s="51"/>
      <c r="C119" s="50" t="s">
        <v>140</v>
      </c>
      <c r="D119">
        <v>6.4399999999999999E-2</v>
      </c>
      <c r="E119" s="50" t="s">
        <v>140</v>
      </c>
      <c r="F119" s="50">
        <v>0</v>
      </c>
      <c r="G119" s="50" t="s">
        <v>176</v>
      </c>
      <c r="H119" s="50">
        <v>0</v>
      </c>
      <c r="I119" s="50">
        <v>2011</v>
      </c>
      <c r="J119">
        <v>6.4399999999999999E-2</v>
      </c>
      <c r="K119" s="50" t="s">
        <v>198</v>
      </c>
      <c r="L119" s="50">
        <v>225</v>
      </c>
      <c r="M119" s="50" t="s">
        <v>178</v>
      </c>
      <c r="N119" s="52"/>
      <c r="O119">
        <f t="shared" si="1"/>
        <v>0.39883434016846764</v>
      </c>
    </row>
    <row r="120" spans="1:15">
      <c r="A120" s="50" t="s">
        <v>251</v>
      </c>
      <c r="B120" s="51"/>
      <c r="C120" s="50" t="s">
        <v>138</v>
      </c>
      <c r="D120">
        <v>2.5000000000000001E-2</v>
      </c>
      <c r="E120" s="50" t="s">
        <v>138</v>
      </c>
      <c r="F120" s="51"/>
      <c r="G120" s="50" t="s">
        <v>176</v>
      </c>
      <c r="H120" s="50">
        <v>0</v>
      </c>
      <c r="I120" s="50">
        <v>2012</v>
      </c>
      <c r="J120">
        <v>2.5000000000000001E-2</v>
      </c>
      <c r="K120" s="50" t="s">
        <v>252</v>
      </c>
      <c r="L120" s="50">
        <v>210</v>
      </c>
      <c r="M120" s="50" t="s">
        <v>178</v>
      </c>
      <c r="N120" s="52"/>
      <c r="O120">
        <f t="shared" si="1"/>
        <v>0.95890410958904104</v>
      </c>
    </row>
    <row r="121" spans="1:15">
      <c r="A121" s="50" t="s">
        <v>200</v>
      </c>
      <c r="B121" s="51"/>
      <c r="C121" s="50" t="s">
        <v>137</v>
      </c>
      <c r="D121">
        <v>4.0000000000000001E-3</v>
      </c>
      <c r="E121" s="50" t="s">
        <v>137</v>
      </c>
      <c r="F121" s="50">
        <v>0</v>
      </c>
      <c r="G121" s="50" t="s">
        <v>176</v>
      </c>
      <c r="H121" s="50">
        <v>0</v>
      </c>
      <c r="I121" s="50">
        <v>2013</v>
      </c>
      <c r="J121">
        <v>4.2000000000000006E-3</v>
      </c>
      <c r="K121" s="50" t="s">
        <v>201</v>
      </c>
      <c r="L121" s="50">
        <v>15</v>
      </c>
      <c r="M121" s="50" t="s">
        <v>178</v>
      </c>
      <c r="N121" s="51"/>
      <c r="O121">
        <f t="shared" si="1"/>
        <v>0.40769732550554466</v>
      </c>
    </row>
    <row r="122" spans="1:15">
      <c r="A122" s="50" t="s">
        <v>290</v>
      </c>
      <c r="B122" s="51"/>
      <c r="C122" s="50" t="s">
        <v>94</v>
      </c>
      <c r="D122">
        <v>0.10199999999999999</v>
      </c>
      <c r="E122" s="50" t="s">
        <v>191</v>
      </c>
      <c r="F122" s="50">
        <v>0</v>
      </c>
      <c r="G122" s="50" t="s">
        <v>176</v>
      </c>
      <c r="H122" s="50">
        <v>0</v>
      </c>
      <c r="I122" s="50">
        <v>2013</v>
      </c>
      <c r="J122">
        <v>0.10199999999999999</v>
      </c>
      <c r="K122" s="50" t="s">
        <v>291</v>
      </c>
      <c r="L122" s="50">
        <v>300</v>
      </c>
      <c r="M122" s="50" t="s">
        <v>178</v>
      </c>
      <c r="N122" s="51"/>
      <c r="O122">
        <f t="shared" si="1"/>
        <v>0.33575073865162508</v>
      </c>
    </row>
    <row r="123" spans="1:15">
      <c r="A123" s="50" t="s">
        <v>302</v>
      </c>
      <c r="B123" s="51"/>
      <c r="C123" s="50" t="s">
        <v>138</v>
      </c>
      <c r="D123">
        <v>8.2000000000000003E-2</v>
      </c>
      <c r="E123" s="50" t="s">
        <v>138</v>
      </c>
      <c r="F123" s="51"/>
      <c r="G123" s="50" t="s">
        <v>176</v>
      </c>
      <c r="H123" s="50">
        <v>0</v>
      </c>
      <c r="I123" s="50">
        <v>2013</v>
      </c>
      <c r="J123">
        <v>8.2000000000000003E-2</v>
      </c>
      <c r="K123" s="50" t="s">
        <v>189</v>
      </c>
      <c r="L123" s="50">
        <v>670</v>
      </c>
      <c r="M123" s="50" t="s">
        <v>178</v>
      </c>
      <c r="N123" s="52"/>
      <c r="O123">
        <f t="shared" si="1"/>
        <v>0.93273193005902655</v>
      </c>
    </row>
    <row r="124" spans="1:15">
      <c r="A124" s="50" t="s">
        <v>292</v>
      </c>
      <c r="B124" s="51"/>
      <c r="C124" s="50" t="s">
        <v>140</v>
      </c>
      <c r="D124">
        <v>7.1300000000000002E-2</v>
      </c>
      <c r="E124" s="50" t="s">
        <v>140</v>
      </c>
      <c r="F124" s="50">
        <v>0</v>
      </c>
      <c r="G124" s="50" t="s">
        <v>176</v>
      </c>
      <c r="H124" s="50">
        <v>0</v>
      </c>
      <c r="I124" s="50">
        <v>2014</v>
      </c>
      <c r="J124">
        <v>5.9799999999999999E-2</v>
      </c>
      <c r="K124" s="50" t="s">
        <v>198</v>
      </c>
      <c r="L124" s="50">
        <v>235</v>
      </c>
      <c r="M124" s="50" t="s">
        <v>178</v>
      </c>
      <c r="N124" s="50" t="s">
        <v>293</v>
      </c>
      <c r="O124">
        <f t="shared" si="1"/>
        <v>0.44860341167666956</v>
      </c>
    </row>
    <row r="125" spans="1:15">
      <c r="A125" s="50" t="s">
        <v>355</v>
      </c>
      <c r="B125" s="51"/>
      <c r="C125" s="50" t="s">
        <v>138</v>
      </c>
      <c r="D125">
        <v>0.16600000000000001</v>
      </c>
      <c r="E125" s="50" t="s">
        <v>138</v>
      </c>
      <c r="F125" s="50">
        <v>0</v>
      </c>
      <c r="G125" s="50" t="s">
        <v>176</v>
      </c>
      <c r="H125" s="50">
        <v>0</v>
      </c>
      <c r="I125" s="50">
        <v>2014</v>
      </c>
      <c r="J125">
        <v>0.16600000000000001</v>
      </c>
      <c r="K125" s="50" t="s">
        <v>356</v>
      </c>
      <c r="L125" s="50">
        <v>1300</v>
      </c>
      <c r="M125" s="50" t="s">
        <v>178</v>
      </c>
      <c r="N125" s="52"/>
      <c r="O125">
        <f t="shared" si="1"/>
        <v>0.8939869065302305</v>
      </c>
    </row>
  </sheetData>
  <autoFilter ref="A1:R125" xr:uid="{00000000-0009-0000-0000-000006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46" t="s">
        <v>430</v>
      </c>
      <c r="C1" s="254"/>
      <c r="D1" s="254"/>
      <c r="E1" s="254"/>
      <c r="F1" s="254"/>
      <c r="G1" s="254"/>
      <c r="H1" s="255"/>
      <c r="I1" s="255"/>
      <c r="J1" s="255"/>
      <c r="K1" s="255"/>
      <c r="L1" s="255"/>
      <c r="M1" s="255"/>
      <c r="N1" s="255"/>
      <c r="O1" s="256"/>
    </row>
    <row r="2" spans="2:15">
      <c r="B2" s="146" t="s">
        <v>436</v>
      </c>
    </row>
    <row r="3" spans="2:15" ht="21">
      <c r="B3" s="257" t="s">
        <v>535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4" spans="2:15">
      <c r="B4" s="416" t="s">
        <v>536</v>
      </c>
      <c r="C4" s="418" t="s">
        <v>537</v>
      </c>
      <c r="D4" s="419"/>
      <c r="E4" s="419"/>
      <c r="F4" s="419"/>
      <c r="G4" s="419"/>
      <c r="H4" s="419"/>
      <c r="I4" s="419"/>
      <c r="J4" s="419"/>
      <c r="K4" s="420"/>
      <c r="L4" s="421" t="s">
        <v>118</v>
      </c>
      <c r="M4" s="422"/>
      <c r="N4" s="422"/>
      <c r="O4" s="423" t="s">
        <v>46</v>
      </c>
    </row>
    <row r="5" spans="2:15" ht="27.75">
      <c r="B5" s="417"/>
      <c r="C5" s="259" t="s">
        <v>137</v>
      </c>
      <c r="D5" s="260" t="s">
        <v>138</v>
      </c>
      <c r="E5" s="261" t="s">
        <v>142</v>
      </c>
      <c r="F5" s="260" t="s">
        <v>140</v>
      </c>
      <c r="G5" s="260" t="s">
        <v>133</v>
      </c>
      <c r="H5" s="260" t="s">
        <v>538</v>
      </c>
      <c r="I5" s="260" t="s">
        <v>191</v>
      </c>
      <c r="J5" s="260" t="s">
        <v>539</v>
      </c>
      <c r="K5" s="262" t="s">
        <v>540</v>
      </c>
      <c r="L5" s="259" t="s">
        <v>541</v>
      </c>
      <c r="M5" s="261" t="s">
        <v>542</v>
      </c>
      <c r="N5" s="263" t="s">
        <v>540</v>
      </c>
      <c r="O5" s="424"/>
    </row>
    <row r="6" spans="2:15">
      <c r="B6" s="264"/>
      <c r="C6" s="265"/>
      <c r="D6" s="266"/>
      <c r="E6" s="266"/>
      <c r="F6" s="266"/>
      <c r="G6" s="266"/>
      <c r="H6" s="266"/>
      <c r="I6" s="266"/>
      <c r="J6" s="266"/>
      <c r="K6" s="267"/>
      <c r="L6" s="268"/>
      <c r="M6" s="269"/>
      <c r="N6" s="269"/>
      <c r="O6" s="267"/>
    </row>
    <row r="7" spans="2:15">
      <c r="B7" s="270">
        <v>1976</v>
      </c>
      <c r="C7" s="265">
        <v>3665.27</v>
      </c>
      <c r="D7" s="266">
        <v>173</v>
      </c>
      <c r="E7" s="266">
        <v>0</v>
      </c>
      <c r="F7" s="266">
        <v>0</v>
      </c>
      <c r="G7" s="266">
        <v>0</v>
      </c>
      <c r="H7" s="266">
        <v>0</v>
      </c>
      <c r="I7" s="266">
        <v>400</v>
      </c>
      <c r="J7" s="266">
        <v>600</v>
      </c>
      <c r="K7" s="267">
        <v>4838.2700000000004</v>
      </c>
      <c r="L7" s="271">
        <v>0</v>
      </c>
      <c r="M7" s="272">
        <v>79.644121004566216</v>
      </c>
      <c r="N7" s="269">
        <v>79.644121004566216</v>
      </c>
      <c r="O7" s="267">
        <v>4917.9141210045664</v>
      </c>
    </row>
    <row r="8" spans="2:15">
      <c r="B8" s="270">
        <v>1977</v>
      </c>
      <c r="C8" s="265">
        <v>3825.27</v>
      </c>
      <c r="D8" s="266">
        <v>173</v>
      </c>
      <c r="E8" s="266">
        <v>0</v>
      </c>
      <c r="F8" s="266">
        <v>0</v>
      </c>
      <c r="G8" s="266">
        <v>0</v>
      </c>
      <c r="H8" s="266">
        <v>0</v>
      </c>
      <c r="I8" s="266">
        <v>446.75</v>
      </c>
      <c r="J8" s="266">
        <v>600</v>
      </c>
      <c r="K8" s="267">
        <v>5045.0200000000004</v>
      </c>
      <c r="L8" s="271">
        <v>0</v>
      </c>
      <c r="M8" s="272">
        <v>79.644121004566216</v>
      </c>
      <c r="N8" s="269">
        <v>79.644121004566216</v>
      </c>
      <c r="O8" s="267">
        <v>5124.6641210045664</v>
      </c>
    </row>
    <row r="9" spans="2:15">
      <c r="B9" s="270">
        <v>1978</v>
      </c>
      <c r="C9" s="265">
        <v>3825.27</v>
      </c>
      <c r="D9" s="266">
        <v>173</v>
      </c>
      <c r="E9" s="266">
        <v>0</v>
      </c>
      <c r="F9" s="266">
        <v>0</v>
      </c>
      <c r="G9" s="266">
        <v>0</v>
      </c>
      <c r="H9" s="266">
        <v>0</v>
      </c>
      <c r="I9" s="266">
        <v>493.5</v>
      </c>
      <c r="J9" s="266">
        <v>600</v>
      </c>
      <c r="K9" s="267">
        <v>5091.7700000000004</v>
      </c>
      <c r="L9" s="271">
        <v>0</v>
      </c>
      <c r="M9" s="272">
        <v>79.644121004566216</v>
      </c>
      <c r="N9" s="269">
        <v>79.644121004566216</v>
      </c>
      <c r="O9" s="267">
        <v>5171.4141210045664</v>
      </c>
    </row>
    <row r="10" spans="2:15">
      <c r="B10" s="270">
        <v>1979</v>
      </c>
      <c r="C10" s="265">
        <v>4089.27</v>
      </c>
      <c r="D10" s="266">
        <v>173</v>
      </c>
      <c r="E10" s="266">
        <v>0</v>
      </c>
      <c r="F10" s="266">
        <v>0</v>
      </c>
      <c r="G10" s="266">
        <v>220</v>
      </c>
      <c r="H10" s="266">
        <v>0</v>
      </c>
      <c r="I10" s="266">
        <v>493.5</v>
      </c>
      <c r="J10" s="266">
        <v>600</v>
      </c>
      <c r="K10" s="267">
        <v>5575.77</v>
      </c>
      <c r="L10" s="271">
        <v>0</v>
      </c>
      <c r="M10" s="272">
        <v>80.157819634703202</v>
      </c>
      <c r="N10" s="269">
        <v>80.157819634703202</v>
      </c>
      <c r="O10" s="267">
        <v>5655.9278196347041</v>
      </c>
    </row>
    <row r="11" spans="2:15">
      <c r="B11" s="270">
        <v>1980</v>
      </c>
      <c r="C11" s="265">
        <v>4301.2700000000004</v>
      </c>
      <c r="D11" s="266">
        <v>173</v>
      </c>
      <c r="E11" s="266">
        <v>0</v>
      </c>
      <c r="F11" s="266">
        <v>0</v>
      </c>
      <c r="G11" s="266">
        <v>220</v>
      </c>
      <c r="H11" s="266">
        <v>0</v>
      </c>
      <c r="I11" s="266">
        <v>493.5</v>
      </c>
      <c r="J11" s="266">
        <v>600</v>
      </c>
      <c r="K11" s="267">
        <v>5787.77</v>
      </c>
      <c r="L11" s="271">
        <v>0</v>
      </c>
      <c r="M11" s="272">
        <v>80.329052511415526</v>
      </c>
      <c r="N11" s="269">
        <v>80.329052511415526</v>
      </c>
      <c r="O11" s="267">
        <v>5868.0990525114157</v>
      </c>
    </row>
    <row r="12" spans="2:15">
      <c r="B12" s="270">
        <v>1981</v>
      </c>
      <c r="C12" s="265">
        <v>4326.2700000000004</v>
      </c>
      <c r="D12" s="266">
        <v>173</v>
      </c>
      <c r="E12" s="266">
        <v>0</v>
      </c>
      <c r="F12" s="266">
        <v>0</v>
      </c>
      <c r="G12" s="266">
        <v>220</v>
      </c>
      <c r="H12" s="266">
        <v>0</v>
      </c>
      <c r="I12" s="266">
        <v>493.5</v>
      </c>
      <c r="J12" s="266">
        <v>600</v>
      </c>
      <c r="K12" s="267">
        <v>5812.77</v>
      </c>
      <c r="L12" s="271">
        <v>0</v>
      </c>
      <c r="M12" s="272">
        <v>99</v>
      </c>
      <c r="N12" s="269">
        <v>99</v>
      </c>
      <c r="O12" s="267">
        <v>5911.77</v>
      </c>
    </row>
    <row r="13" spans="2:15">
      <c r="B13" s="270">
        <v>1982</v>
      </c>
      <c r="C13" s="265">
        <v>4328.2700000000004</v>
      </c>
      <c r="D13" s="266">
        <v>157.19999999999999</v>
      </c>
      <c r="E13" s="266">
        <v>0</v>
      </c>
      <c r="F13" s="266">
        <v>0</v>
      </c>
      <c r="G13" s="266">
        <v>220</v>
      </c>
      <c r="H13" s="266">
        <v>0</v>
      </c>
      <c r="I13" s="266">
        <v>493.5</v>
      </c>
      <c r="J13" s="266">
        <v>600</v>
      </c>
      <c r="K13" s="267">
        <v>5798.97</v>
      </c>
      <c r="L13" s="271">
        <v>0</v>
      </c>
      <c r="M13" s="272">
        <v>98.611301369863014</v>
      </c>
      <c r="N13" s="269">
        <v>98.611301369863014</v>
      </c>
      <c r="O13" s="267">
        <v>5897.5813013698635</v>
      </c>
    </row>
    <row r="14" spans="2:15">
      <c r="B14" s="270">
        <v>1983</v>
      </c>
      <c r="C14" s="265">
        <v>4474.22</v>
      </c>
      <c r="D14" s="266">
        <v>157.19999999999999</v>
      </c>
      <c r="E14" s="266">
        <v>0</v>
      </c>
      <c r="F14" s="266">
        <v>0</v>
      </c>
      <c r="G14" s="266">
        <v>220</v>
      </c>
      <c r="H14" s="266">
        <v>250</v>
      </c>
      <c r="I14" s="266">
        <v>493.5</v>
      </c>
      <c r="J14" s="266">
        <v>600</v>
      </c>
      <c r="K14" s="267">
        <v>6194.92</v>
      </c>
      <c r="L14" s="271">
        <v>0</v>
      </c>
      <c r="M14" s="272">
        <v>98.919520547945211</v>
      </c>
      <c r="N14" s="269">
        <v>98.919520547945211</v>
      </c>
      <c r="O14" s="267">
        <v>6293.8395205479455</v>
      </c>
    </row>
    <row r="15" spans="2:15">
      <c r="B15" s="270">
        <v>1984</v>
      </c>
      <c r="C15" s="265">
        <v>4543.22</v>
      </c>
      <c r="D15" s="266">
        <v>157.19999999999999</v>
      </c>
      <c r="E15" s="266">
        <v>0</v>
      </c>
      <c r="F15" s="266">
        <v>0</v>
      </c>
      <c r="G15" s="266">
        <v>220</v>
      </c>
      <c r="H15" s="266">
        <v>750</v>
      </c>
      <c r="I15" s="266">
        <v>493.5</v>
      </c>
      <c r="J15" s="266">
        <v>600</v>
      </c>
      <c r="K15" s="267">
        <v>6763.92</v>
      </c>
      <c r="L15" s="271">
        <v>0</v>
      </c>
      <c r="M15" s="272">
        <v>99.022260273972606</v>
      </c>
      <c r="N15" s="269">
        <v>99.022260273972606</v>
      </c>
      <c r="O15" s="267">
        <v>6862.9422602739724</v>
      </c>
    </row>
    <row r="16" spans="2:15">
      <c r="B16" s="270">
        <v>1985</v>
      </c>
      <c r="C16" s="265">
        <v>4760.22</v>
      </c>
      <c r="D16" s="266">
        <v>157.19999999999999</v>
      </c>
      <c r="E16" s="266">
        <v>0</v>
      </c>
      <c r="F16" s="266">
        <v>0</v>
      </c>
      <c r="G16" s="266">
        <v>220</v>
      </c>
      <c r="H16" s="266">
        <v>1000</v>
      </c>
      <c r="I16" s="266">
        <v>493.5</v>
      </c>
      <c r="J16" s="266">
        <v>600</v>
      </c>
      <c r="K16" s="267">
        <v>7230.92</v>
      </c>
      <c r="L16" s="271">
        <v>0</v>
      </c>
      <c r="M16" s="272">
        <v>99.022260273972606</v>
      </c>
      <c r="N16" s="269">
        <v>99.022260273972606</v>
      </c>
      <c r="O16" s="267">
        <v>7329.9422602739724</v>
      </c>
    </row>
    <row r="17" spans="2:17">
      <c r="B17" s="270">
        <v>1986</v>
      </c>
      <c r="C17" s="265">
        <v>4760.22</v>
      </c>
      <c r="D17" s="266">
        <v>157.19999999999999</v>
      </c>
      <c r="E17" s="266">
        <v>0</v>
      </c>
      <c r="F17" s="266">
        <v>0</v>
      </c>
      <c r="G17" s="266">
        <v>220</v>
      </c>
      <c r="H17" s="266">
        <v>1000</v>
      </c>
      <c r="I17" s="266">
        <v>493.5</v>
      </c>
      <c r="J17" s="266">
        <v>600</v>
      </c>
      <c r="K17" s="267">
        <v>7230.92</v>
      </c>
      <c r="L17" s="271">
        <v>0</v>
      </c>
      <c r="M17" s="272">
        <v>99.022260273972606</v>
      </c>
      <c r="N17" s="269">
        <v>99.022260273972606</v>
      </c>
      <c r="O17" s="267">
        <v>7329.9422602739724</v>
      </c>
      <c r="P17" s="255"/>
      <c r="Q17" s="255"/>
    </row>
    <row r="18" spans="2:17">
      <c r="B18" s="270">
        <v>1987</v>
      </c>
      <c r="C18" s="265">
        <v>4760.22</v>
      </c>
      <c r="D18" s="266">
        <v>157.19999999999999</v>
      </c>
      <c r="E18" s="266">
        <v>0</v>
      </c>
      <c r="F18" s="266">
        <v>0</v>
      </c>
      <c r="G18" s="266">
        <v>220</v>
      </c>
      <c r="H18" s="266">
        <v>1000</v>
      </c>
      <c r="I18" s="266">
        <v>493.5</v>
      </c>
      <c r="J18" s="266">
        <v>600</v>
      </c>
      <c r="K18" s="267">
        <v>7230.92</v>
      </c>
      <c r="L18" s="271">
        <v>0</v>
      </c>
      <c r="M18" s="272">
        <v>99.092251712328761</v>
      </c>
      <c r="N18" s="269">
        <v>99.092251712328761</v>
      </c>
      <c r="O18" s="267">
        <v>7330.0122517123291</v>
      </c>
      <c r="P18" s="255"/>
      <c r="Q18" s="255"/>
    </row>
    <row r="19" spans="2:17">
      <c r="B19" s="270">
        <v>1988</v>
      </c>
      <c r="C19" s="265">
        <v>4760.22</v>
      </c>
      <c r="D19" s="266">
        <v>175</v>
      </c>
      <c r="E19" s="266">
        <v>0</v>
      </c>
      <c r="F19" s="266">
        <v>0</v>
      </c>
      <c r="G19" s="266">
        <v>220</v>
      </c>
      <c r="H19" s="266">
        <v>1000</v>
      </c>
      <c r="I19" s="266">
        <v>313.5</v>
      </c>
      <c r="J19" s="266">
        <v>600</v>
      </c>
      <c r="K19" s="267">
        <v>7068.72</v>
      </c>
      <c r="L19" s="271">
        <v>0</v>
      </c>
      <c r="M19" s="272">
        <v>99.115582191780817</v>
      </c>
      <c r="N19" s="269">
        <v>99.115582191780817</v>
      </c>
      <c r="O19" s="267">
        <v>7167.8355821917812</v>
      </c>
      <c r="P19" s="255"/>
      <c r="Q19" s="255"/>
    </row>
    <row r="20" spans="2:17">
      <c r="B20" s="270">
        <v>1989</v>
      </c>
      <c r="C20" s="265">
        <v>4760.22</v>
      </c>
      <c r="D20" s="266">
        <v>261</v>
      </c>
      <c r="E20" s="266">
        <v>0</v>
      </c>
      <c r="F20" s="266">
        <v>0</v>
      </c>
      <c r="G20" s="266">
        <v>220</v>
      </c>
      <c r="H20" s="266">
        <v>1000</v>
      </c>
      <c r="I20" s="266">
        <v>313.5</v>
      </c>
      <c r="J20" s="266">
        <v>600</v>
      </c>
      <c r="K20" s="267">
        <v>7154.72</v>
      </c>
      <c r="L20" s="271">
        <v>0</v>
      </c>
      <c r="M20" s="272">
        <v>99.115582191780803</v>
      </c>
      <c r="N20" s="269">
        <v>99.115582191780803</v>
      </c>
      <c r="O20" s="267">
        <v>7253.8355821917812</v>
      </c>
      <c r="P20" s="255"/>
      <c r="Q20" s="255"/>
    </row>
    <row r="21" spans="2:17">
      <c r="B21" s="270">
        <v>1990</v>
      </c>
      <c r="C21" s="265">
        <v>4760.22</v>
      </c>
      <c r="D21" s="266">
        <v>261</v>
      </c>
      <c r="E21" s="266">
        <v>3.5445205479452047</v>
      </c>
      <c r="F21" s="266">
        <v>0</v>
      </c>
      <c r="G21" s="266">
        <v>220</v>
      </c>
      <c r="H21" s="266">
        <v>1000</v>
      </c>
      <c r="I21" s="266">
        <v>313.5</v>
      </c>
      <c r="J21" s="266">
        <v>600</v>
      </c>
      <c r="K21" s="267">
        <v>7158.2645205479457</v>
      </c>
      <c r="L21" s="271">
        <v>0</v>
      </c>
      <c r="M21" s="272">
        <v>99.115582191780817</v>
      </c>
      <c r="N21" s="269">
        <v>99.115582191780817</v>
      </c>
      <c r="O21" s="267">
        <v>7257.3801027397267</v>
      </c>
      <c r="P21" s="255"/>
      <c r="Q21" s="255"/>
    </row>
    <row r="22" spans="2:17">
      <c r="B22" s="270">
        <v>1991</v>
      </c>
      <c r="C22" s="265">
        <v>4760.22</v>
      </c>
      <c r="D22" s="266">
        <v>261</v>
      </c>
      <c r="E22" s="266">
        <v>7</v>
      </c>
      <c r="F22" s="266">
        <v>0</v>
      </c>
      <c r="G22" s="266">
        <v>220</v>
      </c>
      <c r="H22" s="266">
        <v>1000</v>
      </c>
      <c r="I22" s="266">
        <v>313.5</v>
      </c>
      <c r="J22" s="266">
        <v>600</v>
      </c>
      <c r="K22" s="267">
        <v>7161.72</v>
      </c>
      <c r="L22" s="271">
        <v>0</v>
      </c>
      <c r="M22" s="272">
        <v>99.115582191780817</v>
      </c>
      <c r="N22" s="269">
        <v>99.115582191780817</v>
      </c>
      <c r="O22" s="267">
        <v>7260.8355821917812</v>
      </c>
      <c r="P22" s="255"/>
      <c r="Q22" s="255"/>
    </row>
    <row r="23" spans="2:17">
      <c r="B23" s="270">
        <v>1992</v>
      </c>
      <c r="C23" s="265">
        <v>5192.22</v>
      </c>
      <c r="D23" s="266">
        <v>261</v>
      </c>
      <c r="E23" s="266">
        <v>7.0890410958904102</v>
      </c>
      <c r="F23" s="266">
        <v>0</v>
      </c>
      <c r="G23" s="266">
        <v>220</v>
      </c>
      <c r="H23" s="266">
        <v>1000</v>
      </c>
      <c r="I23" s="266">
        <v>313.5</v>
      </c>
      <c r="J23" s="266">
        <v>600</v>
      </c>
      <c r="K23" s="267">
        <v>7593.8090410958903</v>
      </c>
      <c r="L23" s="271">
        <v>0</v>
      </c>
      <c r="M23" s="272">
        <v>99.115582191780817</v>
      </c>
      <c r="N23" s="269">
        <v>99.115582191780817</v>
      </c>
      <c r="O23" s="267">
        <v>7692.9246232876712</v>
      </c>
      <c r="P23" s="255"/>
      <c r="Q23" s="255"/>
    </row>
    <row r="24" spans="2:17">
      <c r="B24" s="270">
        <v>1993</v>
      </c>
      <c r="C24" s="265">
        <v>5192.22</v>
      </c>
      <c r="D24" s="266">
        <v>261</v>
      </c>
      <c r="E24" s="266">
        <v>7.0890410958904102</v>
      </c>
      <c r="F24" s="266">
        <v>0.22500000000000001</v>
      </c>
      <c r="G24" s="266">
        <v>220</v>
      </c>
      <c r="H24" s="266">
        <v>1000</v>
      </c>
      <c r="I24" s="266">
        <v>313.5</v>
      </c>
      <c r="J24" s="266">
        <v>600</v>
      </c>
      <c r="K24" s="267">
        <v>7594.0340410958906</v>
      </c>
      <c r="L24" s="271">
        <v>0</v>
      </c>
      <c r="M24" s="272">
        <v>99.115582191780817</v>
      </c>
      <c r="N24" s="269">
        <v>99.115582191780817</v>
      </c>
      <c r="O24" s="267">
        <v>7693.1496232876716</v>
      </c>
      <c r="P24" s="255"/>
      <c r="Q24" s="273"/>
    </row>
    <row r="25" spans="2:17">
      <c r="B25" s="270">
        <v>1994</v>
      </c>
      <c r="C25" s="265">
        <v>5192.22</v>
      </c>
      <c r="D25" s="266">
        <v>265</v>
      </c>
      <c r="E25" s="266">
        <v>7.0890410958904102</v>
      </c>
      <c r="F25" s="266">
        <v>0.22500000000000001</v>
      </c>
      <c r="G25" s="266">
        <v>220</v>
      </c>
      <c r="H25" s="266">
        <v>1000</v>
      </c>
      <c r="I25" s="266">
        <v>313.5</v>
      </c>
      <c r="J25" s="266">
        <v>600</v>
      </c>
      <c r="K25" s="267">
        <v>7598.0340410958906</v>
      </c>
      <c r="L25" s="271">
        <v>0</v>
      </c>
      <c r="M25" s="272">
        <v>100.07876712328766</v>
      </c>
      <c r="N25" s="269">
        <v>100.07876712328766</v>
      </c>
      <c r="O25" s="267">
        <v>7698.1128082191781</v>
      </c>
      <c r="P25" s="255"/>
      <c r="Q25" s="273"/>
    </row>
    <row r="26" spans="2:17">
      <c r="B26" s="270">
        <v>1995</v>
      </c>
      <c r="C26" s="265">
        <v>5192.22</v>
      </c>
      <c r="D26" s="266">
        <v>265</v>
      </c>
      <c r="E26" s="266">
        <v>8.211900684931507</v>
      </c>
      <c r="F26" s="266">
        <v>0.22500000000000001</v>
      </c>
      <c r="G26" s="266">
        <v>220</v>
      </c>
      <c r="H26" s="266">
        <v>1000</v>
      </c>
      <c r="I26" s="266">
        <v>313.5</v>
      </c>
      <c r="J26" s="266">
        <v>600</v>
      </c>
      <c r="K26" s="267">
        <v>7599.1569006849322</v>
      </c>
      <c r="L26" s="271">
        <v>0</v>
      </c>
      <c r="M26" s="272">
        <v>106.36237157534246</v>
      </c>
      <c r="N26" s="269">
        <v>106.36237157534246</v>
      </c>
      <c r="O26" s="267">
        <v>7705.5192722602751</v>
      </c>
      <c r="P26" s="255"/>
      <c r="Q26" s="273"/>
    </row>
    <row r="27" spans="2:17">
      <c r="B27" s="270">
        <v>1996</v>
      </c>
      <c r="C27" s="265">
        <v>5192.22</v>
      </c>
      <c r="D27" s="266">
        <v>248</v>
      </c>
      <c r="E27" s="266">
        <v>11</v>
      </c>
      <c r="F27" s="266">
        <v>4.0750000000000002</v>
      </c>
      <c r="G27" s="266">
        <v>220</v>
      </c>
      <c r="H27" s="266">
        <v>1000</v>
      </c>
      <c r="I27" s="266">
        <v>313.5</v>
      </c>
      <c r="J27" s="266">
        <v>600</v>
      </c>
      <c r="K27" s="267">
        <v>7588.7950000000001</v>
      </c>
      <c r="L27" s="271">
        <v>0</v>
      </c>
      <c r="M27" s="272">
        <v>101</v>
      </c>
      <c r="N27" s="269">
        <v>101</v>
      </c>
      <c r="O27" s="267">
        <v>7689.7950000000001</v>
      </c>
      <c r="P27" s="255"/>
      <c r="Q27" s="273"/>
    </row>
    <row r="28" spans="2:17">
      <c r="B28" s="270">
        <v>1997</v>
      </c>
      <c r="C28" s="265">
        <v>5192.22</v>
      </c>
      <c r="D28" s="266">
        <v>318</v>
      </c>
      <c r="E28" s="266">
        <v>11</v>
      </c>
      <c r="F28" s="266">
        <v>4.0750000000000002</v>
      </c>
      <c r="G28" s="266">
        <v>0.32500000000000001</v>
      </c>
      <c r="H28" s="266">
        <v>1000</v>
      </c>
      <c r="I28" s="266">
        <v>220</v>
      </c>
      <c r="J28" s="266">
        <v>600</v>
      </c>
      <c r="K28" s="267">
        <v>7345.62</v>
      </c>
      <c r="L28" s="271">
        <v>0</v>
      </c>
      <c r="M28" s="272">
        <v>101</v>
      </c>
      <c r="N28" s="269">
        <v>101</v>
      </c>
      <c r="O28" s="267">
        <v>7446.62</v>
      </c>
      <c r="P28" s="255"/>
      <c r="Q28" s="273"/>
    </row>
    <row r="29" spans="2:17">
      <c r="B29" s="270">
        <v>1998</v>
      </c>
      <c r="C29" s="265">
        <v>5192.22</v>
      </c>
      <c r="D29" s="266">
        <v>328</v>
      </c>
      <c r="E29" s="266">
        <v>11</v>
      </c>
      <c r="F29" s="266">
        <v>4.0750000000000002</v>
      </c>
      <c r="G29" s="266">
        <v>0.32500000000000001</v>
      </c>
      <c r="H29" s="266">
        <v>1000</v>
      </c>
      <c r="I29" s="266">
        <v>357</v>
      </c>
      <c r="J29" s="266">
        <v>480</v>
      </c>
      <c r="K29" s="267">
        <v>7372.62</v>
      </c>
      <c r="L29" s="271">
        <v>0</v>
      </c>
      <c r="M29" s="272">
        <v>101</v>
      </c>
      <c r="N29" s="269">
        <v>101</v>
      </c>
      <c r="O29" s="267">
        <v>7473.62</v>
      </c>
      <c r="P29" s="255"/>
      <c r="Q29" s="273"/>
    </row>
    <row r="30" spans="2:17">
      <c r="B30" s="270">
        <v>1999</v>
      </c>
      <c r="C30" s="265">
        <v>5199.22</v>
      </c>
      <c r="D30" s="266">
        <v>353</v>
      </c>
      <c r="E30" s="266">
        <v>11</v>
      </c>
      <c r="F30" s="266">
        <v>35.755000000000003</v>
      </c>
      <c r="G30" s="266">
        <v>0.32500000000000001</v>
      </c>
      <c r="H30" s="266">
        <v>1000</v>
      </c>
      <c r="I30" s="266">
        <v>737</v>
      </c>
      <c r="J30" s="266">
        <v>440</v>
      </c>
      <c r="K30" s="267">
        <v>7776.3</v>
      </c>
      <c r="L30" s="271">
        <v>0</v>
      </c>
      <c r="M30" s="272">
        <v>96</v>
      </c>
      <c r="N30" s="269">
        <v>96</v>
      </c>
      <c r="O30" s="267">
        <v>7872.3</v>
      </c>
      <c r="P30" s="255"/>
      <c r="Q30" s="273"/>
    </row>
    <row r="31" spans="2:17">
      <c r="B31" s="270">
        <v>2000</v>
      </c>
      <c r="C31" s="265">
        <v>5202.22</v>
      </c>
      <c r="D31" s="266">
        <v>365</v>
      </c>
      <c r="E31" s="266">
        <v>11</v>
      </c>
      <c r="F31" s="266">
        <v>35.755000000000003</v>
      </c>
      <c r="G31" s="266">
        <v>0.32500000000000001</v>
      </c>
      <c r="H31" s="266">
        <v>1000</v>
      </c>
      <c r="I31" s="266">
        <v>737</v>
      </c>
      <c r="J31" s="266">
        <v>440</v>
      </c>
      <c r="K31" s="267">
        <v>7791.3</v>
      </c>
      <c r="L31" s="271">
        <v>0</v>
      </c>
      <c r="M31" s="272">
        <v>101.42</v>
      </c>
      <c r="N31" s="269">
        <v>101.42</v>
      </c>
      <c r="O31" s="267">
        <v>7892.72</v>
      </c>
      <c r="P31" s="255"/>
      <c r="Q31" s="273"/>
    </row>
    <row r="32" spans="2:17">
      <c r="B32" s="270">
        <v>2001</v>
      </c>
      <c r="C32" s="265">
        <v>5202.22</v>
      </c>
      <c r="D32" s="266">
        <v>365</v>
      </c>
      <c r="E32" s="266">
        <v>11</v>
      </c>
      <c r="F32" s="266">
        <v>35.755000000000003</v>
      </c>
      <c r="G32" s="266">
        <v>0.32500000000000001</v>
      </c>
      <c r="H32" s="266">
        <v>1000</v>
      </c>
      <c r="I32" s="266">
        <v>737</v>
      </c>
      <c r="J32" s="266">
        <v>440</v>
      </c>
      <c r="K32" s="267">
        <v>7791.3</v>
      </c>
      <c r="L32" s="271">
        <v>0</v>
      </c>
      <c r="M32" s="272">
        <v>101.42</v>
      </c>
      <c r="N32" s="269">
        <v>101.42</v>
      </c>
      <c r="O32" s="267">
        <v>7892.72</v>
      </c>
      <c r="P32" s="255"/>
      <c r="Q32" s="273"/>
    </row>
    <row r="33" spans="2:17">
      <c r="B33" s="270">
        <v>2002</v>
      </c>
      <c r="C33" s="266">
        <v>5329.27</v>
      </c>
      <c r="D33" s="266">
        <v>363.8</v>
      </c>
      <c r="E33" s="266">
        <v>14.08</v>
      </c>
      <c r="F33" s="266">
        <v>53.725000000000001</v>
      </c>
      <c r="G33" s="266">
        <v>0.59800000000000009</v>
      </c>
      <c r="H33" s="266">
        <v>1000</v>
      </c>
      <c r="I33" s="266">
        <v>737</v>
      </c>
      <c r="J33" s="266">
        <v>440</v>
      </c>
      <c r="K33" s="267">
        <v>7938.4730000000009</v>
      </c>
      <c r="L33" s="271">
        <v>346.23700000000002</v>
      </c>
      <c r="M33" s="272">
        <v>227.67999999999998</v>
      </c>
      <c r="N33" s="269">
        <v>573.91700000000003</v>
      </c>
      <c r="O33" s="267">
        <v>8512.3900000000012</v>
      </c>
      <c r="P33" s="255"/>
      <c r="Q33" s="273"/>
    </row>
    <row r="34" spans="2:17">
      <c r="B34" s="270">
        <v>2003</v>
      </c>
      <c r="C34" s="266">
        <v>5335.42</v>
      </c>
      <c r="D34" s="266">
        <v>368.3</v>
      </c>
      <c r="E34" s="266">
        <v>21.53</v>
      </c>
      <c r="F34" s="266">
        <v>72.224999999999994</v>
      </c>
      <c r="G34" s="266">
        <v>0.59800000000000009</v>
      </c>
      <c r="H34" s="266">
        <v>1000</v>
      </c>
      <c r="I34" s="266">
        <v>737</v>
      </c>
      <c r="J34" s="266">
        <v>440</v>
      </c>
      <c r="K34" s="267">
        <v>7975.0730000000003</v>
      </c>
      <c r="L34" s="271">
        <v>336.28500000000003</v>
      </c>
      <c r="M34" s="272">
        <v>227.68599999999998</v>
      </c>
      <c r="N34" s="269">
        <v>563.971</v>
      </c>
      <c r="O34" s="267">
        <v>8539.0439999999999</v>
      </c>
      <c r="P34" s="255"/>
      <c r="Q34" s="273"/>
    </row>
    <row r="35" spans="2:17">
      <c r="B35" s="270">
        <v>2004</v>
      </c>
      <c r="C35" s="266">
        <v>5336.4649999999992</v>
      </c>
      <c r="D35" s="266">
        <v>368.3</v>
      </c>
      <c r="E35" s="266">
        <v>22.430000000000003</v>
      </c>
      <c r="F35" s="266">
        <v>165.52499999999998</v>
      </c>
      <c r="G35" s="266">
        <v>161.61984000000001</v>
      </c>
      <c r="H35" s="266">
        <v>1000</v>
      </c>
      <c r="I35" s="266">
        <v>777</v>
      </c>
      <c r="J35" s="266">
        <v>440</v>
      </c>
      <c r="K35" s="267">
        <v>8271.3398400000005</v>
      </c>
      <c r="L35" s="271">
        <v>336.28500000000003</v>
      </c>
      <c r="M35" s="272">
        <v>227.68599999999998</v>
      </c>
      <c r="N35" s="269">
        <v>563.971</v>
      </c>
      <c r="O35" s="267">
        <v>8835.3108400000001</v>
      </c>
      <c r="P35" s="255"/>
      <c r="Q35" s="273"/>
    </row>
    <row r="36" spans="2:17">
      <c r="B36" s="270">
        <v>2005</v>
      </c>
      <c r="C36" s="266">
        <v>5336.915</v>
      </c>
      <c r="D36" s="266">
        <v>423.7</v>
      </c>
      <c r="E36" s="266">
        <v>22.430000000000003</v>
      </c>
      <c r="F36" s="266">
        <v>168.02499999999998</v>
      </c>
      <c r="G36" s="266">
        <v>161.94015999999999</v>
      </c>
      <c r="H36" s="266">
        <v>1000</v>
      </c>
      <c r="I36" s="266">
        <v>821</v>
      </c>
      <c r="J36" s="266">
        <v>330</v>
      </c>
      <c r="K36" s="267">
        <v>8264.0101599999998</v>
      </c>
      <c r="L36" s="271">
        <v>339.81500000000005</v>
      </c>
      <c r="M36" s="272">
        <v>242.58599999999996</v>
      </c>
      <c r="N36" s="269">
        <v>582.40100000000007</v>
      </c>
      <c r="O36" s="267">
        <v>8846.4111599999997</v>
      </c>
      <c r="P36" s="255"/>
      <c r="Q36" s="273"/>
    </row>
    <row r="37" spans="2:17">
      <c r="B37" s="270">
        <v>2006</v>
      </c>
      <c r="C37" s="266">
        <v>5336.69</v>
      </c>
      <c r="D37" s="266">
        <v>423.7</v>
      </c>
      <c r="E37" s="266">
        <v>23.230000000000004</v>
      </c>
      <c r="F37" s="266">
        <v>169.02499999999998</v>
      </c>
      <c r="G37" s="266">
        <v>161.94015999999999</v>
      </c>
      <c r="H37" s="266">
        <v>1000</v>
      </c>
      <c r="I37" s="266">
        <v>831.9</v>
      </c>
      <c r="J37" s="266">
        <v>330</v>
      </c>
      <c r="K37" s="267">
        <v>8276.4851599999984</v>
      </c>
      <c r="L37" s="271">
        <v>339.81500000000005</v>
      </c>
      <c r="M37" s="272">
        <v>243.21599999999995</v>
      </c>
      <c r="N37" s="269">
        <v>583.03099999999995</v>
      </c>
      <c r="O37" s="267">
        <v>8859.5161599999992</v>
      </c>
      <c r="P37" s="255"/>
      <c r="Q37" s="273"/>
    </row>
    <row r="38" spans="2:17">
      <c r="B38" s="270">
        <v>2007</v>
      </c>
      <c r="C38" s="266">
        <v>5337.1699999999992</v>
      </c>
      <c r="D38" s="266">
        <v>441.7</v>
      </c>
      <c r="E38" s="266">
        <v>24.78</v>
      </c>
      <c r="F38" s="266">
        <v>320.02499999999998</v>
      </c>
      <c r="G38" s="266">
        <v>161.94015999999999</v>
      </c>
      <c r="H38" s="266">
        <v>1000</v>
      </c>
      <c r="I38" s="266">
        <v>1216.9000000000001</v>
      </c>
      <c r="J38" s="266">
        <v>330</v>
      </c>
      <c r="K38" s="267">
        <v>8832.515159999999</v>
      </c>
      <c r="L38" s="271">
        <v>330.81500000000005</v>
      </c>
      <c r="M38" s="272">
        <v>245.24599999999998</v>
      </c>
      <c r="N38" s="269">
        <v>576.06100000000004</v>
      </c>
      <c r="O38" s="267">
        <v>9408.5761599999987</v>
      </c>
      <c r="P38" s="255"/>
      <c r="Q38" s="273"/>
    </row>
    <row r="39" spans="2:17">
      <c r="B39" s="270">
        <v>2008</v>
      </c>
      <c r="C39" s="266">
        <v>5358.3399999999992</v>
      </c>
      <c r="D39" s="266">
        <v>563.19999999999993</v>
      </c>
      <c r="E39" s="266">
        <v>26.78</v>
      </c>
      <c r="F39" s="266">
        <v>321.52499999999998</v>
      </c>
      <c r="G39" s="266">
        <v>162.04016000000001</v>
      </c>
      <c r="H39" s="266">
        <v>1000</v>
      </c>
      <c r="I39" s="266">
        <v>1228.9000000000001</v>
      </c>
      <c r="J39" s="266">
        <v>100</v>
      </c>
      <c r="K39" s="267">
        <v>8760.7851599999976</v>
      </c>
      <c r="L39" s="271">
        <v>335.64000000000004</v>
      </c>
      <c r="M39" s="272">
        <v>245.04599999999999</v>
      </c>
      <c r="N39" s="269">
        <v>580.68600000000004</v>
      </c>
      <c r="O39" s="267">
        <v>9341.4711599999973</v>
      </c>
      <c r="P39" s="255"/>
      <c r="Q39" s="273"/>
    </row>
    <row r="40" spans="2:17">
      <c r="B40" s="270">
        <v>2009</v>
      </c>
      <c r="C40" s="266">
        <v>5280.9999999999991</v>
      </c>
      <c r="D40" s="266">
        <v>602.79999999999995</v>
      </c>
      <c r="E40" s="266">
        <v>29.86</v>
      </c>
      <c r="F40" s="266">
        <v>496.375</v>
      </c>
      <c r="G40" s="266">
        <v>162.33135999999999</v>
      </c>
      <c r="H40" s="266">
        <v>1000</v>
      </c>
      <c r="I40" s="266">
        <v>1220.9000000000001</v>
      </c>
      <c r="J40" s="266">
        <v>0</v>
      </c>
      <c r="K40" s="267">
        <v>8793.2663599999996</v>
      </c>
      <c r="L40" s="271">
        <v>300.98</v>
      </c>
      <c r="M40" s="272">
        <v>236.64599999999999</v>
      </c>
      <c r="N40" s="269">
        <v>537.62599999999998</v>
      </c>
      <c r="O40" s="267">
        <v>9330.8923599999998</v>
      </c>
      <c r="P40" s="255"/>
      <c r="Q40" s="273"/>
    </row>
    <row r="41" spans="2:17">
      <c r="B41" s="270">
        <v>2010</v>
      </c>
      <c r="C41" s="266">
        <v>5278.6499999999987</v>
      </c>
      <c r="D41" s="266">
        <v>718.19999999999993</v>
      </c>
      <c r="E41" s="266">
        <v>30.08</v>
      </c>
      <c r="F41" s="266">
        <v>523.875</v>
      </c>
      <c r="G41" s="266">
        <v>163.13136</v>
      </c>
      <c r="H41" s="266">
        <v>1000</v>
      </c>
      <c r="I41" s="266">
        <v>1205.0999999999999</v>
      </c>
      <c r="J41" s="266">
        <v>0</v>
      </c>
      <c r="K41" s="267">
        <v>8919.0363599999982</v>
      </c>
      <c r="L41" s="271">
        <v>329.04</v>
      </c>
      <c r="M41" s="272">
        <v>237.096</v>
      </c>
      <c r="N41" s="269">
        <v>566.13599999999997</v>
      </c>
      <c r="O41" s="267">
        <v>9485.1723599999987</v>
      </c>
      <c r="P41" s="255"/>
      <c r="Q41" s="273"/>
    </row>
    <row r="42" spans="2:17">
      <c r="B42" s="270">
        <v>2011</v>
      </c>
      <c r="C42" s="266">
        <v>5353.6249999999991</v>
      </c>
      <c r="D42" s="266">
        <v>718.19999999999993</v>
      </c>
      <c r="E42" s="266">
        <v>32.159999999999997</v>
      </c>
      <c r="F42" s="266">
        <v>622.625</v>
      </c>
      <c r="G42" s="266">
        <v>172.13136</v>
      </c>
      <c r="H42" s="266">
        <v>1000</v>
      </c>
      <c r="I42" s="266">
        <v>1405.1</v>
      </c>
      <c r="J42" s="266">
        <v>0</v>
      </c>
      <c r="K42" s="267">
        <v>9303.8413599999985</v>
      </c>
      <c r="L42" s="271">
        <v>329.04</v>
      </c>
      <c r="M42" s="272">
        <v>236.86599999999999</v>
      </c>
      <c r="N42" s="269">
        <v>565.90599999999995</v>
      </c>
      <c r="O42" s="267">
        <v>9869.7473599999976</v>
      </c>
      <c r="P42" s="255"/>
      <c r="Q42" s="273"/>
    </row>
    <row r="43" spans="2:17">
      <c r="B43" s="270">
        <v>2012</v>
      </c>
      <c r="C43" s="266">
        <v>5367.5999999999995</v>
      </c>
      <c r="D43" s="266">
        <v>718.19999999999993</v>
      </c>
      <c r="E43" s="266">
        <v>32.159999999999997</v>
      </c>
      <c r="F43" s="266">
        <v>622.625</v>
      </c>
      <c r="G43" s="266">
        <v>180.17135999999999</v>
      </c>
      <c r="H43" s="266">
        <v>750</v>
      </c>
      <c r="I43" s="266">
        <v>1505.1</v>
      </c>
      <c r="J43" s="266">
        <v>0</v>
      </c>
      <c r="K43" s="267">
        <v>9175.8563599999998</v>
      </c>
      <c r="L43" s="271">
        <v>329.04</v>
      </c>
      <c r="M43" s="272">
        <v>236.86599999999999</v>
      </c>
      <c r="N43" s="269">
        <v>565.90599999999995</v>
      </c>
      <c r="O43" s="267">
        <v>9741.7623600000006</v>
      </c>
      <c r="P43" s="255"/>
      <c r="Q43" s="273"/>
    </row>
    <row r="44" spans="2:17">
      <c r="B44" s="270">
        <v>2013</v>
      </c>
      <c r="C44" s="266">
        <v>5380.5999999999995</v>
      </c>
      <c r="D44" s="266">
        <v>790.19999999999993</v>
      </c>
      <c r="E44" s="266">
        <v>32.159999999999997</v>
      </c>
      <c r="F44" s="266">
        <v>622.625</v>
      </c>
      <c r="G44" s="266">
        <v>180.17135999999999</v>
      </c>
      <c r="H44" s="266">
        <v>500</v>
      </c>
      <c r="I44" s="266">
        <v>1505.1</v>
      </c>
      <c r="J44" s="266">
        <v>0</v>
      </c>
      <c r="K44" s="267">
        <v>9010.8563599999998</v>
      </c>
      <c r="L44" s="271">
        <v>329.04</v>
      </c>
      <c r="M44" s="272">
        <v>234.76599999999996</v>
      </c>
      <c r="N44" s="269">
        <v>563.80600000000004</v>
      </c>
      <c r="O44" s="267">
        <v>9574.6623600000003</v>
      </c>
      <c r="P44" s="255"/>
      <c r="Q44" s="273"/>
    </row>
    <row r="45" spans="2:17">
      <c r="B45" s="270">
        <v>2014</v>
      </c>
      <c r="C45" s="266">
        <v>5380.4999999999991</v>
      </c>
      <c r="D45" s="266">
        <v>916.19999999999993</v>
      </c>
      <c r="E45" s="266">
        <v>36.059999999999995</v>
      </c>
      <c r="F45" s="266">
        <v>681.97499999999991</v>
      </c>
      <c r="G45" s="266">
        <v>180.17135999999999</v>
      </c>
      <c r="H45" s="266">
        <v>500</v>
      </c>
      <c r="I45" s="266">
        <v>1507.1</v>
      </c>
      <c r="J45" s="266">
        <v>0</v>
      </c>
      <c r="K45" s="267">
        <v>9202.0063599999994</v>
      </c>
      <c r="L45" s="271">
        <v>329.04</v>
      </c>
      <c r="M45" s="272">
        <v>234.76599999999996</v>
      </c>
      <c r="N45" s="269">
        <v>563.80600000000004</v>
      </c>
      <c r="O45" s="267">
        <v>9765.8123599999999</v>
      </c>
      <c r="P45" s="255"/>
      <c r="Q45" s="273"/>
    </row>
    <row r="46" spans="2:17">
      <c r="B46" s="270">
        <v>2015</v>
      </c>
      <c r="C46" s="266">
        <v>5380.4999999999991</v>
      </c>
      <c r="D46" s="266">
        <v>933.19999999999993</v>
      </c>
      <c r="E46" s="266">
        <v>37.080000000000005</v>
      </c>
      <c r="F46" s="266">
        <v>688.55</v>
      </c>
      <c r="G46" s="266">
        <v>180.17135999999999</v>
      </c>
      <c r="H46" s="266">
        <v>500</v>
      </c>
      <c r="I46" s="266">
        <v>1127.0999999999999</v>
      </c>
      <c r="J46" s="266">
        <v>0</v>
      </c>
      <c r="K46" s="267">
        <v>8846.6013599999987</v>
      </c>
      <c r="L46" s="271">
        <v>329.04</v>
      </c>
      <c r="M46" s="272">
        <v>234.76599999999996</v>
      </c>
      <c r="N46" s="269">
        <v>563.80600000000004</v>
      </c>
      <c r="O46" s="267">
        <v>9410.4073599999992</v>
      </c>
      <c r="P46" s="255"/>
      <c r="Q46" s="273"/>
    </row>
    <row r="47" spans="2:17">
      <c r="B47" s="270">
        <v>2016</v>
      </c>
      <c r="C47" s="266">
        <v>5380.4999999999991</v>
      </c>
      <c r="D47" s="266">
        <v>933.19999999999993</v>
      </c>
      <c r="E47" s="266">
        <v>33.46</v>
      </c>
      <c r="F47" s="266">
        <v>689.44999999999993</v>
      </c>
      <c r="G47" s="266">
        <v>180.13836000000001</v>
      </c>
      <c r="H47" s="266">
        <v>500</v>
      </c>
      <c r="I47" s="266">
        <v>1127.0999999999999</v>
      </c>
      <c r="J47" s="266">
        <v>0</v>
      </c>
      <c r="K47" s="267">
        <v>8843.8483599999981</v>
      </c>
      <c r="L47" s="271">
        <v>159.04000000000002</v>
      </c>
      <c r="M47" s="272">
        <v>234.76599999999996</v>
      </c>
      <c r="N47" s="269">
        <v>393.80599999999998</v>
      </c>
      <c r="O47" s="267">
        <v>9237.6543599999986</v>
      </c>
      <c r="P47" s="255"/>
      <c r="Q47" s="273"/>
    </row>
    <row r="48" spans="2:17">
      <c r="B48" s="270">
        <v>2017</v>
      </c>
      <c r="C48" s="266">
        <v>5380.4999999999991</v>
      </c>
      <c r="D48" s="266">
        <v>933.19999999999993</v>
      </c>
      <c r="E48" s="266">
        <v>32.54</v>
      </c>
      <c r="F48" s="266">
        <v>689.44999999999993</v>
      </c>
      <c r="G48" s="266">
        <v>180.13836000000001</v>
      </c>
      <c r="H48" s="266">
        <v>500</v>
      </c>
      <c r="I48" s="266">
        <v>1127.0999999999999</v>
      </c>
      <c r="J48" s="266">
        <v>0</v>
      </c>
      <c r="K48" s="267">
        <v>8842.9283599999981</v>
      </c>
      <c r="L48" s="271">
        <v>159.04000000000002</v>
      </c>
      <c r="M48" s="272">
        <v>234.76599999999996</v>
      </c>
      <c r="N48" s="269">
        <v>393.80599999999998</v>
      </c>
      <c r="O48" s="267">
        <v>9236.7343599999986</v>
      </c>
      <c r="P48" s="255"/>
      <c r="Q48" s="273"/>
    </row>
    <row r="49" spans="2:15">
      <c r="B49" s="274"/>
      <c r="C49" s="275"/>
      <c r="D49" s="276"/>
      <c r="E49" s="276"/>
      <c r="F49" s="276"/>
      <c r="G49" s="276"/>
      <c r="H49" s="276"/>
      <c r="I49" s="276"/>
      <c r="J49" s="276"/>
      <c r="K49" s="277"/>
      <c r="L49" s="278"/>
      <c r="M49" s="279"/>
      <c r="N49" s="279"/>
      <c r="O49" s="277"/>
    </row>
    <row r="50" spans="2:15">
      <c r="B50" s="280" t="s">
        <v>543</v>
      </c>
      <c r="C50" s="281">
        <v>4.8020034201612383E-4</v>
      </c>
      <c r="D50" s="282">
        <v>5.3770086075434209E-2</v>
      </c>
      <c r="E50" s="282">
        <v>2.3520933376679487E-3</v>
      </c>
      <c r="F50" s="282">
        <v>2.0599248564264316E-2</v>
      </c>
      <c r="G50" s="282">
        <v>-3.663447727109137E-5</v>
      </c>
      <c r="H50" s="282">
        <v>-7.7892088518272229E-2</v>
      </c>
      <c r="I50" s="282">
        <v>-5.620120437505649E-2</v>
      </c>
      <c r="J50" s="282" t="s">
        <v>544</v>
      </c>
      <c r="K50" s="283">
        <v>-7.3642781534528634E-3</v>
      </c>
      <c r="L50" s="281">
        <v>-0.13532772459335174</v>
      </c>
      <c r="M50" s="282">
        <v>-1.7794762536998965E-3</v>
      </c>
      <c r="N50" s="284">
        <v>-6.9947196867281902E-2</v>
      </c>
      <c r="O50" s="283">
        <v>-1.0590252749995921E-2</v>
      </c>
    </row>
    <row r="51" spans="2:15">
      <c r="B51" s="285" t="s">
        <v>545</v>
      </c>
      <c r="C51" s="286">
        <v>0</v>
      </c>
      <c r="D51" s="287">
        <v>0</v>
      </c>
      <c r="E51" s="287">
        <v>-2.7495517035266093E-2</v>
      </c>
      <c r="F51" s="287">
        <v>0</v>
      </c>
      <c r="G51" s="287">
        <v>0</v>
      </c>
      <c r="H51" s="287">
        <v>0</v>
      </c>
      <c r="I51" s="287">
        <v>0</v>
      </c>
      <c r="J51" s="287" t="s">
        <v>544</v>
      </c>
      <c r="K51" s="288">
        <v>-1.0402711156387578E-4</v>
      </c>
      <c r="L51" s="286">
        <v>0</v>
      </c>
      <c r="M51" s="287">
        <v>0</v>
      </c>
      <c r="N51" s="289">
        <v>0</v>
      </c>
      <c r="O51" s="288">
        <v>-9.9592381804569641E-5</v>
      </c>
    </row>
    <row r="52" spans="2:15">
      <c r="B52" s="290"/>
      <c r="C52" s="266"/>
      <c r="D52" s="266"/>
      <c r="E52" s="266"/>
      <c r="F52" s="266"/>
      <c r="G52" s="266"/>
      <c r="H52" s="266"/>
      <c r="I52" s="266"/>
      <c r="J52" s="266"/>
      <c r="K52" s="269"/>
      <c r="L52" s="269"/>
      <c r="M52" s="269"/>
      <c r="N52" s="269"/>
      <c r="O52" s="269"/>
    </row>
    <row r="53" spans="2:15">
      <c r="B53" s="291"/>
      <c r="C53" s="292"/>
      <c r="D53" s="292"/>
      <c r="E53" s="292"/>
      <c r="F53" s="292"/>
      <c r="G53" s="292"/>
      <c r="H53" s="292"/>
      <c r="I53" s="292"/>
      <c r="J53" s="292"/>
      <c r="K53" s="293"/>
      <c r="L53" s="293"/>
      <c r="M53" s="293"/>
      <c r="N53" s="293"/>
      <c r="O53" s="293"/>
    </row>
    <row r="54" spans="2:15" ht="14.25">
      <c r="B54" s="294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6"/>
    </row>
    <row r="55" spans="2:15" ht="14.25">
      <c r="B55" s="294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6"/>
    </row>
    <row r="56" spans="2:15" ht="14.25">
      <c r="B56" s="29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6"/>
    </row>
    <row r="57" spans="2:15" ht="14.25">
      <c r="B57" s="296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6"/>
    </row>
    <row r="58" spans="2:15" ht="14.25">
      <c r="B58" s="296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6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46" t="s">
        <v>430</v>
      </c>
    </row>
    <row r="2" spans="1:46" ht="14.25" customHeight="1">
      <c r="A2" s="146" t="s">
        <v>436</v>
      </c>
    </row>
    <row r="5" spans="1:46" ht="14.25" customHeight="1">
      <c r="A5" s="130" t="s">
        <v>400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</row>
    <row r="6" spans="1:46" ht="14.25" customHeight="1">
      <c r="A6" s="128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</row>
    <row r="7" spans="1:46" ht="14.25" customHeight="1">
      <c r="A7" s="118" t="s">
        <v>401</v>
      </c>
      <c r="B7" s="120">
        <v>1974</v>
      </c>
      <c r="C7" s="120">
        <v>1975</v>
      </c>
      <c r="D7" s="120">
        <v>1976</v>
      </c>
      <c r="E7" s="120">
        <v>1977</v>
      </c>
      <c r="F7" s="120">
        <v>1978</v>
      </c>
      <c r="G7" s="120">
        <v>1979</v>
      </c>
      <c r="H7" s="120">
        <v>1980</v>
      </c>
      <c r="I7" s="120">
        <v>1981</v>
      </c>
      <c r="J7" s="120">
        <v>1982</v>
      </c>
      <c r="K7" s="120">
        <v>1983</v>
      </c>
      <c r="L7" s="120">
        <v>1984</v>
      </c>
      <c r="M7" s="120">
        <v>1985</v>
      </c>
      <c r="N7" s="120">
        <v>1986</v>
      </c>
      <c r="O7" s="120">
        <v>1987</v>
      </c>
      <c r="P7" s="120">
        <v>1988</v>
      </c>
      <c r="Q7" s="120">
        <v>1989</v>
      </c>
      <c r="R7" s="120">
        <v>1990</v>
      </c>
      <c r="S7" s="120">
        <v>1991</v>
      </c>
      <c r="T7" s="120">
        <v>1992</v>
      </c>
      <c r="U7" s="120">
        <v>1993</v>
      </c>
      <c r="V7" s="120">
        <v>1994</v>
      </c>
      <c r="W7" s="120">
        <v>1995</v>
      </c>
      <c r="X7" s="120">
        <v>1996</v>
      </c>
      <c r="Y7" s="120">
        <v>1997</v>
      </c>
      <c r="Z7" s="120">
        <v>1998</v>
      </c>
      <c r="AA7" s="120">
        <v>1999</v>
      </c>
      <c r="AB7" s="120">
        <v>2000</v>
      </c>
      <c r="AC7" s="120">
        <v>2001</v>
      </c>
      <c r="AD7" s="120">
        <v>2002</v>
      </c>
      <c r="AE7" s="120">
        <v>2003</v>
      </c>
      <c r="AF7" s="120">
        <v>2004</v>
      </c>
      <c r="AG7" s="120">
        <v>2005</v>
      </c>
      <c r="AH7" s="120">
        <v>2006</v>
      </c>
      <c r="AI7" s="120">
        <v>2007</v>
      </c>
      <c r="AJ7" s="120">
        <v>2008</v>
      </c>
      <c r="AK7" s="120">
        <v>2009</v>
      </c>
      <c r="AL7" s="120">
        <v>2010</v>
      </c>
      <c r="AM7" s="120">
        <v>2011</v>
      </c>
      <c r="AN7" s="120">
        <v>2012</v>
      </c>
      <c r="AO7" s="120">
        <v>2013</v>
      </c>
      <c r="AP7" s="120">
        <v>2014</v>
      </c>
      <c r="AQ7" s="120">
        <v>2015</v>
      </c>
      <c r="AR7" s="120">
        <v>2016</v>
      </c>
      <c r="AS7" s="120">
        <v>2017</v>
      </c>
      <c r="AT7" s="123" t="s">
        <v>402</v>
      </c>
    </row>
    <row r="8" spans="1:46" ht="14.25" customHeigh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95"/>
      <c r="AR8" s="95"/>
      <c r="AS8" s="95"/>
      <c r="AT8" s="124"/>
    </row>
    <row r="9" spans="1:46" ht="14.25" customHeight="1">
      <c r="A9" s="110" t="s">
        <v>403</v>
      </c>
      <c r="B9" s="111">
        <v>72.632937600000005</v>
      </c>
      <c r="C9" s="111">
        <v>72.432957600000009</v>
      </c>
      <c r="D9" s="111">
        <v>76.393497600000003</v>
      </c>
      <c r="E9" s="111">
        <v>78.452697600000008</v>
      </c>
      <c r="F9" s="111">
        <v>78.676086600000005</v>
      </c>
      <c r="G9" s="111">
        <v>79.828819199999998</v>
      </c>
      <c r="H9" s="111">
        <v>81.765842399999983</v>
      </c>
      <c r="I9" s="111">
        <v>83.849342400000026</v>
      </c>
      <c r="J9" s="111">
        <v>88.473092400000013</v>
      </c>
      <c r="K9" s="111">
        <v>94.108631399999993</v>
      </c>
      <c r="L9" s="111">
        <v>98.112925799999985</v>
      </c>
      <c r="M9" s="111">
        <v>99.679390844531511</v>
      </c>
      <c r="N9" s="111">
        <v>103.14739396044975</v>
      </c>
      <c r="O9" s="111">
        <v>104.47488174538375</v>
      </c>
      <c r="P9" s="111">
        <v>109.16380892005181</v>
      </c>
      <c r="Q9" s="111">
        <v>109.97247842581847</v>
      </c>
      <c r="R9" s="111">
        <v>113.25391144901128</v>
      </c>
      <c r="S9" s="111">
        <v>116.67515746401024</v>
      </c>
      <c r="T9" s="111">
        <v>114.97096953835015</v>
      </c>
      <c r="U9" s="111">
        <v>120.08939776987175</v>
      </c>
      <c r="V9" s="111">
        <v>122.49323999967024</v>
      </c>
      <c r="W9" s="111">
        <v>126.89890330989827</v>
      </c>
      <c r="X9" s="111">
        <v>128.01607304366149</v>
      </c>
      <c r="Y9" s="111">
        <v>129.57515620238323</v>
      </c>
      <c r="Z9" s="111">
        <v>131.68548116943987</v>
      </c>
      <c r="AA9" s="111">
        <v>131.9155467302289</v>
      </c>
      <c r="AB9" s="111">
        <v>137.04718946599269</v>
      </c>
      <c r="AC9" s="111">
        <v>137.58604920972712</v>
      </c>
      <c r="AD9" s="111">
        <v>142.1224976151162</v>
      </c>
      <c r="AE9" s="111">
        <v>142.15243499210078</v>
      </c>
      <c r="AF9" s="111">
        <v>149.31963851129464</v>
      </c>
      <c r="AG9" s="111">
        <v>149.03397144507721</v>
      </c>
      <c r="AH9" s="111">
        <v>151.14873382201225</v>
      </c>
      <c r="AI9" s="111">
        <v>152.60270034414103</v>
      </c>
      <c r="AJ9" s="111">
        <v>152.44340397248592</v>
      </c>
      <c r="AK9" s="111">
        <v>151.47057523960365</v>
      </c>
      <c r="AL9" s="111">
        <v>156.38352966523692</v>
      </c>
      <c r="AM9" s="111">
        <v>155.04976468543916</v>
      </c>
      <c r="AN9" s="111">
        <v>154.30725275532131</v>
      </c>
      <c r="AO9" s="111">
        <v>150.91716385380209</v>
      </c>
      <c r="AP9" s="111">
        <v>152.23413144022922</v>
      </c>
      <c r="AQ9" s="111">
        <v>154.76309717284275</v>
      </c>
      <c r="AR9" s="111">
        <v>153.32734323867086</v>
      </c>
      <c r="AS9" s="111">
        <v>154.96286171367075</v>
      </c>
      <c r="AT9" s="125">
        <v>1.066684154602493E-2</v>
      </c>
    </row>
    <row r="10" spans="1:46" ht="14.25" customHeight="1">
      <c r="A10" s="98" t="s">
        <v>137</v>
      </c>
      <c r="B10" s="109">
        <v>54.133199999999995</v>
      </c>
      <c r="C10" s="109">
        <v>59.389199999999995</v>
      </c>
      <c r="D10" s="109">
        <v>55.238399999999999</v>
      </c>
      <c r="E10" s="109">
        <v>52.462800000000001</v>
      </c>
      <c r="F10" s="109">
        <v>55.8108</v>
      </c>
      <c r="G10" s="109">
        <v>65.732399999999998</v>
      </c>
      <c r="H10" s="109">
        <v>69.015599999999992</v>
      </c>
      <c r="I10" s="109">
        <v>70.138800000000003</v>
      </c>
      <c r="J10" s="109">
        <v>65.235600000000005</v>
      </c>
      <c r="K10" s="109">
        <v>70.394400000000005</v>
      </c>
      <c r="L10" s="109">
        <v>72.622799999999998</v>
      </c>
      <c r="M10" s="109">
        <v>70.2388324061763</v>
      </c>
      <c r="N10" s="109">
        <v>78.756177169106806</v>
      </c>
      <c r="O10" s="109">
        <v>78.15338662560508</v>
      </c>
      <c r="P10" s="109">
        <v>81.838910065100151</v>
      </c>
      <c r="Q10" s="109">
        <v>80.399767398313941</v>
      </c>
      <c r="R10" s="109">
        <v>82.632418616236492</v>
      </c>
      <c r="S10" s="109">
        <v>81.595869326600223</v>
      </c>
      <c r="T10" s="109">
        <v>75.174276526916202</v>
      </c>
      <c r="U10" s="109">
        <v>83.728670111786343</v>
      </c>
      <c r="V10" s="109">
        <v>92.083354159102953</v>
      </c>
      <c r="W10" s="109">
        <v>98.133882101898578</v>
      </c>
      <c r="X10" s="109">
        <v>93.315959909556838</v>
      </c>
      <c r="Y10" s="109">
        <v>82.892102400000013</v>
      </c>
      <c r="Z10" s="109">
        <v>90.238078799999997</v>
      </c>
      <c r="AA10" s="109">
        <v>81.685195199999995</v>
      </c>
      <c r="AB10" s="109">
        <v>87.086257200000006</v>
      </c>
      <c r="AC10" s="109">
        <v>77.271685199999993</v>
      </c>
      <c r="AD10" s="109">
        <v>88.621739286316185</v>
      </c>
      <c r="AE10" s="109">
        <v>84.202016369669991</v>
      </c>
      <c r="AF10" s="109">
        <v>97.060956909300003</v>
      </c>
      <c r="AG10" s="109">
        <v>83.1487109742</v>
      </c>
      <c r="AH10" s="109">
        <v>83.991924521550004</v>
      </c>
      <c r="AI10" s="109">
        <v>84.278053315799994</v>
      </c>
      <c r="AJ10" s="109">
        <v>79.656723987746403</v>
      </c>
      <c r="AK10" s="109">
        <v>86.302952794068119</v>
      </c>
      <c r="AL10" s="109">
        <v>88.131411191336042</v>
      </c>
      <c r="AM10" s="109">
        <v>89.499872194297922</v>
      </c>
      <c r="AN10" s="109">
        <v>81.602000578757512</v>
      </c>
      <c r="AO10" s="109">
        <v>82.185167502717846</v>
      </c>
      <c r="AP10" s="109">
        <v>86.844153569065199</v>
      </c>
      <c r="AQ10" s="109">
        <v>87.676776707230786</v>
      </c>
      <c r="AR10" s="109">
        <v>92.620812123761397</v>
      </c>
      <c r="AS10" s="109">
        <v>89.874028008314525</v>
      </c>
      <c r="AT10" s="125">
        <v>-2.9656230089805002E-2</v>
      </c>
    </row>
    <row r="11" spans="1:46" ht="14.25" customHeight="1">
      <c r="A11" s="98" t="s">
        <v>138</v>
      </c>
      <c r="B11" s="109">
        <v>4.8887999999999998</v>
      </c>
      <c r="C11" s="109">
        <v>4.8599999999999994</v>
      </c>
      <c r="D11" s="109">
        <v>4.6440000000000001</v>
      </c>
      <c r="E11" s="109">
        <v>4.3811999999999998</v>
      </c>
      <c r="F11" s="109">
        <v>4.4603999999999999</v>
      </c>
      <c r="G11" s="109">
        <v>4.0247999999999999</v>
      </c>
      <c r="H11" s="109">
        <v>4.3415999999999997</v>
      </c>
      <c r="I11" s="109">
        <v>4.1075999999999997</v>
      </c>
      <c r="J11" s="109">
        <v>4.1688000000000001</v>
      </c>
      <c r="K11" s="109">
        <v>4.2227999999999994</v>
      </c>
      <c r="L11" s="109">
        <v>4.6583999999999994</v>
      </c>
      <c r="M11" s="109">
        <v>4.1926040080160289</v>
      </c>
      <c r="N11" s="109">
        <v>4.4416719919839647</v>
      </c>
      <c r="O11" s="109">
        <v>4.4223479999999968</v>
      </c>
      <c r="P11" s="109">
        <v>4.4538480000000042</v>
      </c>
      <c r="Q11" s="109">
        <v>6.1397999999999993</v>
      </c>
      <c r="R11" s="109">
        <v>7.2392400000000006</v>
      </c>
      <c r="S11" s="109">
        <v>7.7688000000000015</v>
      </c>
      <c r="T11" s="109">
        <v>7.6716000000000033</v>
      </c>
      <c r="U11" s="109">
        <v>8.0891999999999982</v>
      </c>
      <c r="V11" s="109">
        <v>7.5635999999999983</v>
      </c>
      <c r="W11" s="109">
        <v>7.340012600231951</v>
      </c>
      <c r="X11" s="109">
        <v>7.3383393997680484</v>
      </c>
      <c r="Y11" s="109">
        <v>7.6692815999999988</v>
      </c>
      <c r="Z11" s="109">
        <v>8.5878036000000009</v>
      </c>
      <c r="AA11" s="109">
        <v>9.4887431999999983</v>
      </c>
      <c r="AB11" s="109">
        <v>9.9217331999999985</v>
      </c>
      <c r="AC11" s="109">
        <v>9.6399971999999998</v>
      </c>
      <c r="AD11" s="109">
        <v>9.9091499544000001</v>
      </c>
      <c r="AE11" s="109">
        <v>9.4519280906307728</v>
      </c>
      <c r="AF11" s="109">
        <v>9.5452927238769121</v>
      </c>
      <c r="AG11" s="109">
        <v>10.5281869635</v>
      </c>
      <c r="AH11" s="109">
        <v>11.493315016199999</v>
      </c>
      <c r="AI11" s="109">
        <v>12.1527665595</v>
      </c>
      <c r="AJ11" s="109">
        <v>14.37141686202</v>
      </c>
      <c r="AK11" s="109">
        <v>16.521319938348</v>
      </c>
      <c r="AL11" s="109">
        <v>19.925001043811999</v>
      </c>
      <c r="AM11" s="109">
        <v>20.780008739261998</v>
      </c>
      <c r="AN11" s="109">
        <v>21.218541483204</v>
      </c>
      <c r="AO11" s="109">
        <v>21.859272889974001</v>
      </c>
      <c r="AP11" s="109">
        <v>24.729615658692001</v>
      </c>
      <c r="AQ11" s="109">
        <v>26.677705290839999</v>
      </c>
      <c r="AR11" s="109">
        <v>26.761906604916</v>
      </c>
      <c r="AS11" s="109">
        <v>26.829344436875996</v>
      </c>
      <c r="AT11" s="125">
        <v>2.5199188142899231E-3</v>
      </c>
    </row>
    <row r="12" spans="1:46" ht="14.25" customHeight="1">
      <c r="A12" s="98" t="s">
        <v>142</v>
      </c>
      <c r="B12" s="109">
        <v>2.7345600000000001E-2</v>
      </c>
      <c r="C12" s="109">
        <v>0.14884559999999999</v>
      </c>
      <c r="D12" s="109">
        <v>0.18934559999999998</v>
      </c>
      <c r="E12" s="109">
        <v>0.18934559999999998</v>
      </c>
      <c r="F12" s="109">
        <v>0.18934559999999998</v>
      </c>
      <c r="G12" s="109">
        <v>0.20230559999999997</v>
      </c>
      <c r="H12" s="109">
        <v>0.20662559999999999</v>
      </c>
      <c r="I12" s="109">
        <v>0.32812560000000002</v>
      </c>
      <c r="J12" s="109">
        <v>0.3686256</v>
      </c>
      <c r="K12" s="109">
        <v>0.3764016</v>
      </c>
      <c r="L12" s="109">
        <v>0.37899359999999999</v>
      </c>
      <c r="M12" s="109">
        <v>0.37899359999999999</v>
      </c>
      <c r="N12" s="109">
        <v>0.37899359999999999</v>
      </c>
      <c r="O12" s="109">
        <v>0.38075940000000003</v>
      </c>
      <c r="P12" s="109">
        <v>0.38134800000000002</v>
      </c>
      <c r="Q12" s="109">
        <v>0.38134800000000002</v>
      </c>
      <c r="R12" s="109">
        <v>0.47077200000000002</v>
      </c>
      <c r="S12" s="109">
        <v>0.54529200000000011</v>
      </c>
      <c r="T12" s="109">
        <v>0.56019600000000003</v>
      </c>
      <c r="U12" s="109">
        <v>0.56019600000000003</v>
      </c>
      <c r="V12" s="109">
        <v>0.58449600000000002</v>
      </c>
      <c r="W12" s="109">
        <v>0.61997939999999996</v>
      </c>
      <c r="X12" s="109">
        <v>0.52498897236208475</v>
      </c>
      <c r="Y12" s="109">
        <v>0.50180040000000004</v>
      </c>
      <c r="Z12" s="109">
        <v>0.49212467999999998</v>
      </c>
      <c r="AA12" s="109">
        <v>0.4178268</v>
      </c>
      <c r="AB12" s="109">
        <v>0.37002599999999997</v>
      </c>
      <c r="AC12" s="109">
        <v>0.36316799999999999</v>
      </c>
      <c r="AD12" s="109">
        <v>0.48469854239999999</v>
      </c>
      <c r="AE12" s="109">
        <v>0.63934327619999998</v>
      </c>
      <c r="AF12" s="109">
        <v>0.71460054359999992</v>
      </c>
      <c r="AG12" s="109">
        <v>0.69840424440000004</v>
      </c>
      <c r="AH12" s="109">
        <v>0.78295169789999997</v>
      </c>
      <c r="AI12" s="109">
        <v>0.77781943080000004</v>
      </c>
      <c r="AJ12" s="109">
        <v>0.73786740659999994</v>
      </c>
      <c r="AK12" s="109">
        <v>0.78537244409999996</v>
      </c>
      <c r="AL12" s="109">
        <v>0.75992828228999998</v>
      </c>
      <c r="AM12" s="109">
        <v>0.81712458602999993</v>
      </c>
      <c r="AN12" s="109">
        <v>0.79684013359972083</v>
      </c>
      <c r="AO12" s="109">
        <v>0.79397200994489281</v>
      </c>
      <c r="AP12" s="109">
        <v>0.87347622332610719</v>
      </c>
      <c r="AQ12" s="109">
        <v>0.91067115664800002</v>
      </c>
      <c r="AR12" s="109">
        <v>0.92005809393599991</v>
      </c>
      <c r="AS12" s="109">
        <v>0.99918302661688541</v>
      </c>
      <c r="AT12" s="125">
        <v>8.5999931093905024E-2</v>
      </c>
    </row>
    <row r="13" spans="1:46" ht="14.25" customHeight="1">
      <c r="A13" s="98" t="s">
        <v>143</v>
      </c>
      <c r="B13" s="109">
        <v>1.102104</v>
      </c>
      <c r="C13" s="109">
        <v>1.102104</v>
      </c>
      <c r="D13" s="109">
        <v>1.102104</v>
      </c>
      <c r="E13" s="109">
        <v>1.102104</v>
      </c>
      <c r="F13" s="109">
        <v>1.102104</v>
      </c>
      <c r="G13" s="109">
        <v>1.102104</v>
      </c>
      <c r="H13" s="109">
        <v>1.102104</v>
      </c>
      <c r="I13" s="109">
        <v>1.102104</v>
      </c>
      <c r="J13" s="109">
        <v>1.102104</v>
      </c>
      <c r="K13" s="109">
        <v>1.102104</v>
      </c>
      <c r="L13" s="109">
        <v>1.1839139999999999</v>
      </c>
      <c r="M13" s="109">
        <v>1.211184</v>
      </c>
      <c r="N13" s="109">
        <v>1.211184</v>
      </c>
      <c r="O13" s="109">
        <v>1.211184</v>
      </c>
      <c r="P13" s="109">
        <v>1.211184</v>
      </c>
      <c r="Q13" s="109">
        <v>1.211184</v>
      </c>
      <c r="R13" s="109">
        <v>1.211184</v>
      </c>
      <c r="S13" s="109">
        <v>1.211184</v>
      </c>
      <c r="T13" s="109">
        <v>1.211184</v>
      </c>
      <c r="U13" s="109">
        <v>1.211184</v>
      </c>
      <c r="V13" s="109">
        <v>1.211184</v>
      </c>
      <c r="W13" s="109">
        <v>1.211184</v>
      </c>
      <c r="X13" s="109">
        <v>1.1158700559136663</v>
      </c>
      <c r="Y13" s="109">
        <v>1.1223719999999999</v>
      </c>
      <c r="Z13" s="109">
        <v>1.4723351999999998</v>
      </c>
      <c r="AA13" s="109">
        <v>1.4104331999999997</v>
      </c>
      <c r="AB13" s="109">
        <v>1.6077023999999998</v>
      </c>
      <c r="AC13" s="109">
        <v>1.2997908</v>
      </c>
      <c r="AD13" s="109">
        <v>0.82825318928863079</v>
      </c>
      <c r="AE13" s="109">
        <v>0.68501590971600956</v>
      </c>
      <c r="AF13" s="109">
        <v>0.84570862680171355</v>
      </c>
      <c r="AG13" s="109">
        <v>0.99243618909113518</v>
      </c>
      <c r="AH13" s="109">
        <v>1.0733928894812161</v>
      </c>
      <c r="AI13" s="109">
        <v>1.1266180661070466</v>
      </c>
      <c r="AJ13" s="109">
        <v>1.1636173944208621</v>
      </c>
      <c r="AK13" s="109">
        <v>1.2323336896526544</v>
      </c>
      <c r="AL13" s="109">
        <v>1.2403743514107732</v>
      </c>
      <c r="AM13" s="109">
        <v>1.2551630168098729</v>
      </c>
      <c r="AN13" s="109">
        <v>1.2946524817999319</v>
      </c>
      <c r="AO13" s="109">
        <v>1.3006644001519716</v>
      </c>
      <c r="AP13" s="109">
        <v>1.2698239312983493</v>
      </c>
      <c r="AQ13" s="109">
        <v>1.2455742102764291</v>
      </c>
      <c r="AR13" s="109">
        <v>1.2014577568551958</v>
      </c>
      <c r="AS13" s="109">
        <v>1.1910702261630692</v>
      </c>
      <c r="AT13" s="125">
        <v>-8.6457727147359886E-3</v>
      </c>
    </row>
    <row r="14" spans="1:46" ht="14.25" customHeight="1">
      <c r="A14" s="98" t="s">
        <v>140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2.4624E-3</v>
      </c>
      <c r="U14" s="109">
        <v>3.5136E-3</v>
      </c>
      <c r="V14" s="109">
        <v>3.5999999999999999E-3</v>
      </c>
      <c r="W14" s="109">
        <v>3.5999999999999999E-3</v>
      </c>
      <c r="X14" s="109">
        <v>2.9674800000000001E-2</v>
      </c>
      <c r="Y14" s="109">
        <v>4.8447431999999999E-2</v>
      </c>
      <c r="Z14" s="109">
        <v>7.8656399999999987E-2</v>
      </c>
      <c r="AA14" s="109">
        <v>0.13897080000000001</v>
      </c>
      <c r="AB14" s="109">
        <v>0.42842160000000001</v>
      </c>
      <c r="AC14" s="109">
        <v>0.49535280000000004</v>
      </c>
      <c r="AD14" s="109">
        <v>0.55414198079999999</v>
      </c>
      <c r="AE14" s="109">
        <v>0.52204707360000002</v>
      </c>
      <c r="AF14" s="109">
        <v>1.2882701664</v>
      </c>
      <c r="AG14" s="109">
        <v>2.1904029118799997</v>
      </c>
      <c r="AH14" s="109">
        <v>2.2142311963200001</v>
      </c>
      <c r="AI14" s="109">
        <v>3.3131814152399999</v>
      </c>
      <c r="AJ14" s="109">
        <v>3.7711354163399995</v>
      </c>
      <c r="AK14" s="109">
        <v>5.2654590179182446</v>
      </c>
      <c r="AL14" s="109">
        <v>5.8351711949846639</v>
      </c>
      <c r="AM14" s="109">
        <v>6.9727942588636438</v>
      </c>
      <c r="AN14" s="109">
        <v>7.4144585750781236</v>
      </c>
      <c r="AO14" s="109">
        <v>7.2148442613310797</v>
      </c>
      <c r="AP14" s="109">
        <v>7.8921002209420434</v>
      </c>
      <c r="AQ14" s="109">
        <v>8.4269475529855189</v>
      </c>
      <c r="AR14" s="109">
        <v>8.2920445380791268</v>
      </c>
      <c r="AS14" s="109">
        <v>7.8425782812587563</v>
      </c>
      <c r="AT14" s="125">
        <v>-5.4204515515601681E-2</v>
      </c>
    </row>
    <row r="15" spans="1:46" ht="14.25" customHeight="1">
      <c r="A15" s="98" t="s">
        <v>404</v>
      </c>
      <c r="B15" s="109">
        <v>0</v>
      </c>
      <c r="C15" s="109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1.2138624014399999E-2</v>
      </c>
      <c r="AJ15" s="109">
        <v>1.2227184014399999E-2</v>
      </c>
      <c r="AK15" s="109">
        <v>1.2302532007200001E-2</v>
      </c>
      <c r="AL15" s="109">
        <v>1.3644863985599999E-2</v>
      </c>
      <c r="AM15" s="109">
        <v>1.4708160014399998E-2</v>
      </c>
      <c r="AN15" s="109">
        <v>1.7188991985599998E-2</v>
      </c>
      <c r="AO15" s="109">
        <v>2.6991103683599998E-2</v>
      </c>
      <c r="AP15" s="109">
        <v>6.2658247679999987E-2</v>
      </c>
      <c r="AQ15" s="109">
        <v>0.12262700015999999</v>
      </c>
      <c r="AR15" s="109">
        <v>0.18612484128000001</v>
      </c>
      <c r="AS15" s="109">
        <v>0.25947889128000001</v>
      </c>
      <c r="AT15" s="125">
        <v>0.39411208893738481</v>
      </c>
    </row>
    <row r="16" spans="1:46" ht="14.25" customHeight="1">
      <c r="A16" s="98" t="s">
        <v>123</v>
      </c>
      <c r="B16" s="109">
        <v>6.9947999999999997</v>
      </c>
      <c r="C16" s="109">
        <v>2.8331999999999997</v>
      </c>
      <c r="D16" s="109">
        <v>4.6079999999999997</v>
      </c>
      <c r="E16" s="109">
        <v>2.6244000000000001</v>
      </c>
      <c r="F16" s="109">
        <v>0.71639999999999993</v>
      </c>
      <c r="G16" s="109">
        <v>0.17280000000000001</v>
      </c>
      <c r="H16" s="109">
        <v>1.0800000000000001E-2</v>
      </c>
      <c r="I16" s="109">
        <v>1.0800000000000001E-2</v>
      </c>
      <c r="J16" s="109">
        <v>5.3999999999999999E-2</v>
      </c>
      <c r="K16" s="109">
        <v>0.52559999999999996</v>
      </c>
      <c r="L16" s="109">
        <v>1.7999999999999999E-2</v>
      </c>
      <c r="M16" s="109">
        <v>0.17131898734177212</v>
      </c>
      <c r="N16" s="109">
        <v>2.2821811251168802E-2</v>
      </c>
      <c r="O16" s="109">
        <v>3.2925599527335508E-2</v>
      </c>
      <c r="P16" s="109">
        <v>2.4597504138099153E-2</v>
      </c>
      <c r="Q16" s="109">
        <v>1.8723193554768384E-3</v>
      </c>
      <c r="R16" s="109">
        <v>3.3011918211566245E-2</v>
      </c>
      <c r="S16" s="109">
        <v>8.478023772583182E-2</v>
      </c>
      <c r="T16" s="109">
        <v>0.6915240266583258</v>
      </c>
      <c r="U16" s="109">
        <v>0.21240000000000001</v>
      </c>
      <c r="V16" s="109">
        <v>7.1999999999999995E-2</v>
      </c>
      <c r="W16" s="109">
        <v>0.17251439759999998</v>
      </c>
      <c r="X16" s="109">
        <v>5.2597198800000002E-2</v>
      </c>
      <c r="Y16" s="109">
        <v>0</v>
      </c>
      <c r="Z16" s="109">
        <v>3.5999999999999999E-3</v>
      </c>
      <c r="AA16" s="109">
        <v>1.7227439999999998E-4</v>
      </c>
      <c r="AB16" s="109">
        <v>5.4521999999999991E-5</v>
      </c>
      <c r="AC16" s="109">
        <v>0</v>
      </c>
      <c r="AD16" s="109">
        <v>1.5299999999999999E-5</v>
      </c>
      <c r="AE16" s="109">
        <v>6.8804387999999994E-2</v>
      </c>
      <c r="AF16" s="109">
        <v>8.1563327999999991E-2</v>
      </c>
      <c r="AG16" s="109">
        <v>1.2919861416441204E-2</v>
      </c>
      <c r="AH16" s="109">
        <v>7.7772411061524355E-2</v>
      </c>
      <c r="AI16" s="109">
        <v>1.9491027951887244E-3</v>
      </c>
      <c r="AJ16" s="109">
        <v>0.44311099127070597</v>
      </c>
      <c r="AK16" s="109">
        <v>3.0353597536408886E-2</v>
      </c>
      <c r="AL16" s="109">
        <v>5.6412515284910997E-3</v>
      </c>
      <c r="AM16" s="109">
        <v>4.4512945358204156E-3</v>
      </c>
      <c r="AN16" s="109">
        <v>1.0093074897999313E-2</v>
      </c>
      <c r="AO16" s="109">
        <v>9.7879035142152716E-3</v>
      </c>
      <c r="AP16" s="109">
        <v>9.1457707655199609E-3</v>
      </c>
      <c r="AQ16" s="109">
        <v>6.9138888265280517E-3</v>
      </c>
      <c r="AR16" s="109">
        <v>2.3011956888367751E-2</v>
      </c>
      <c r="AS16" s="109">
        <v>1.4158307724907761E-2</v>
      </c>
      <c r="AT16" s="125">
        <v>-0.38474125457515507</v>
      </c>
    </row>
    <row r="17" spans="1:48" ht="14.25" customHeight="1">
      <c r="A17" s="98" t="s">
        <v>122</v>
      </c>
      <c r="B17" s="109">
        <v>4.6692</v>
      </c>
      <c r="C17" s="109">
        <v>3.7656000000000001</v>
      </c>
      <c r="D17" s="109">
        <v>3.9491999999999998</v>
      </c>
      <c r="E17" s="109">
        <v>3.2759999999999998</v>
      </c>
      <c r="F17" s="109">
        <v>2.6713890000000005</v>
      </c>
      <c r="G17" s="109">
        <v>1.4099615999999999</v>
      </c>
      <c r="H17" s="109">
        <v>1.5318648000000001</v>
      </c>
      <c r="I17" s="109">
        <v>1.4022647999999998</v>
      </c>
      <c r="J17" s="109">
        <v>1.5174648000000002</v>
      </c>
      <c r="K17" s="109">
        <v>2.3418648000000002</v>
      </c>
      <c r="L17" s="109">
        <v>2.6226647999999999</v>
      </c>
      <c r="M17" s="109">
        <v>2.5829199999999997</v>
      </c>
      <c r="N17" s="109">
        <v>2.0002812334817968</v>
      </c>
      <c r="O17" s="109">
        <v>3.0424980746055117</v>
      </c>
      <c r="P17" s="109">
        <v>2.6019887315855943</v>
      </c>
      <c r="Q17" s="109">
        <v>1.6064502822735101</v>
      </c>
      <c r="R17" s="109">
        <v>2.2336984373859439</v>
      </c>
      <c r="S17" s="109">
        <v>1.6226364882843805</v>
      </c>
      <c r="T17" s="109">
        <v>4.214064873825877</v>
      </c>
      <c r="U17" s="109">
        <v>2.5050020911277331</v>
      </c>
      <c r="V17" s="109">
        <v>2.3276075621525161</v>
      </c>
      <c r="W17" s="109">
        <v>3.0299527679973619</v>
      </c>
      <c r="X17" s="109">
        <v>3.154566304801631</v>
      </c>
      <c r="Y17" s="109">
        <v>5.5250849886569204</v>
      </c>
      <c r="Z17" s="109">
        <v>4.914944698660781</v>
      </c>
      <c r="AA17" s="109">
        <v>6.0413850755393934</v>
      </c>
      <c r="AB17" s="109">
        <v>5.2027525904330085</v>
      </c>
      <c r="AC17" s="109">
        <v>7.1265035268732841</v>
      </c>
      <c r="AD17" s="109">
        <v>6.92954676</v>
      </c>
      <c r="AE17" s="109">
        <v>13.346913227447267</v>
      </c>
      <c r="AF17" s="109">
        <v>16.106071475999986</v>
      </c>
      <c r="AG17" s="109">
        <v>19.729997558051796</v>
      </c>
      <c r="AH17" s="109">
        <v>18.634494256280206</v>
      </c>
      <c r="AI17" s="109">
        <v>10.72783966569912</v>
      </c>
      <c r="AJ17" s="109">
        <v>16.284164230793806</v>
      </c>
      <c r="AK17" s="109">
        <v>11.094234116001083</v>
      </c>
      <c r="AL17" s="109">
        <v>6.9439693179688193</v>
      </c>
      <c r="AM17" s="109">
        <v>7.3004596467559919</v>
      </c>
      <c r="AN17" s="109">
        <v>11.942967678121727</v>
      </c>
      <c r="AO17" s="109">
        <v>8.0559868984898042</v>
      </c>
      <c r="AP17" s="109">
        <v>6.5933492824365123</v>
      </c>
      <c r="AQ17" s="109">
        <v>6.3226281491725684</v>
      </c>
      <c r="AR17" s="109">
        <v>3.5535819608074295</v>
      </c>
      <c r="AS17" s="109">
        <v>4.0739052906319069</v>
      </c>
      <c r="AT17" s="125">
        <v>0.1464222116059628</v>
      </c>
    </row>
    <row r="18" spans="1:48" ht="14.25" customHeight="1">
      <c r="A18" s="98" t="s">
        <v>191</v>
      </c>
      <c r="B18" s="109">
        <v>0.75113999999999992</v>
      </c>
      <c r="C18" s="109">
        <v>0.18234</v>
      </c>
      <c r="D18" s="109">
        <v>6.4823399999999998</v>
      </c>
      <c r="E18" s="109">
        <v>14.236739999999998</v>
      </c>
      <c r="F18" s="109">
        <v>13.545539999999999</v>
      </c>
      <c r="G18" s="109">
        <v>7.00434</v>
      </c>
      <c r="H18" s="109">
        <v>5.3771399999999998</v>
      </c>
      <c r="I18" s="109">
        <v>6.5255400000000003</v>
      </c>
      <c r="J18" s="109">
        <v>15.774389999999999</v>
      </c>
      <c r="K18" s="109">
        <v>14.893352999999998</v>
      </c>
      <c r="L18" s="109">
        <v>16.392023999999999</v>
      </c>
      <c r="M18" s="109">
        <v>20.677803442997398</v>
      </c>
      <c r="N18" s="109">
        <v>16.110554954626011</v>
      </c>
      <c r="O18" s="109">
        <v>17.006027645645808</v>
      </c>
      <c r="P18" s="109">
        <v>18.426036219227957</v>
      </c>
      <c r="Q18" s="109">
        <v>20.006592025875534</v>
      </c>
      <c r="R18" s="109">
        <v>19.207906077177284</v>
      </c>
      <c r="S18" s="109">
        <v>23.621051811399802</v>
      </c>
      <c r="T18" s="109">
        <v>25.219858910949743</v>
      </c>
      <c r="U18" s="109">
        <v>23.553447166957667</v>
      </c>
      <c r="V18" s="109">
        <v>18.421519878414752</v>
      </c>
      <c r="W18" s="109">
        <v>16.162061642170364</v>
      </c>
      <c r="X18" s="109">
        <v>22.257189102459243</v>
      </c>
      <c r="Y18" s="109">
        <v>31.590350981726296</v>
      </c>
      <c r="Z18" s="109">
        <v>25.672221390779075</v>
      </c>
      <c r="AA18" s="109">
        <v>32.507103780289491</v>
      </c>
      <c r="AB18" s="109">
        <v>32.204525553559684</v>
      </c>
      <c r="AC18" s="109">
        <v>41.219516482853834</v>
      </c>
      <c r="AD18" s="109">
        <v>34.459663721911376</v>
      </c>
      <c r="AE18" s="109">
        <v>32.932336036836745</v>
      </c>
      <c r="AF18" s="109">
        <v>23.378552937316044</v>
      </c>
      <c r="AG18" s="109">
        <v>31.460027162537845</v>
      </c>
      <c r="AH18" s="109">
        <v>32.624027633219292</v>
      </c>
      <c r="AI18" s="109">
        <v>40.021826574185283</v>
      </c>
      <c r="AJ18" s="109">
        <v>35.801195709279746</v>
      </c>
      <c r="AK18" s="109">
        <v>30.034520109971961</v>
      </c>
      <c r="AL18" s="109">
        <v>33.32262953792052</v>
      </c>
      <c r="AM18" s="109">
        <v>28.238594858869497</v>
      </c>
      <c r="AN18" s="109">
        <v>29.883295962076712</v>
      </c>
      <c r="AO18" s="109">
        <v>29.300229638594676</v>
      </c>
      <c r="AP18" s="109">
        <v>23.774591836323506</v>
      </c>
      <c r="AQ18" s="109">
        <v>23.182196732002907</v>
      </c>
      <c r="AR18" s="109">
        <v>19.575115722147348</v>
      </c>
      <c r="AS18" s="109">
        <v>23.679362584804679</v>
      </c>
      <c r="AT18" s="125">
        <v>0.20966654404059404</v>
      </c>
    </row>
    <row r="19" spans="1:48" ht="14.25" customHeight="1">
      <c r="A19" s="98" t="s">
        <v>405</v>
      </c>
      <c r="B19" s="109">
        <v>6.634799999999999E-2</v>
      </c>
      <c r="C19" s="109">
        <v>0.151668</v>
      </c>
      <c r="D19" s="109">
        <v>0.18010799999999999</v>
      </c>
      <c r="E19" s="109">
        <v>0.18010799999999999</v>
      </c>
      <c r="F19" s="109">
        <v>0.18010799999999999</v>
      </c>
      <c r="G19" s="109">
        <v>0.18010799999999999</v>
      </c>
      <c r="H19" s="109">
        <v>0.18010799999999999</v>
      </c>
      <c r="I19" s="109">
        <v>0.23410800000000001</v>
      </c>
      <c r="J19" s="109">
        <v>0.252108</v>
      </c>
      <c r="K19" s="109">
        <v>0.252108</v>
      </c>
      <c r="L19" s="109">
        <v>0.23612939999999999</v>
      </c>
      <c r="M19" s="109">
        <v>0.2257344</v>
      </c>
      <c r="N19" s="109">
        <v>0.2257092</v>
      </c>
      <c r="O19" s="109">
        <v>0.22575239999999999</v>
      </c>
      <c r="P19" s="109">
        <v>0.2258964</v>
      </c>
      <c r="Q19" s="109">
        <v>0.22546440000000001</v>
      </c>
      <c r="R19" s="109">
        <v>0.2256804</v>
      </c>
      <c r="S19" s="109">
        <v>0.22554359999999998</v>
      </c>
      <c r="T19" s="109">
        <v>0.2258028</v>
      </c>
      <c r="U19" s="109">
        <v>0.22578480000000001</v>
      </c>
      <c r="V19" s="109">
        <v>0.22587839999999998</v>
      </c>
      <c r="W19" s="109">
        <v>0.22571639999999998</v>
      </c>
      <c r="X19" s="109">
        <v>0.22688729999999999</v>
      </c>
      <c r="Y19" s="109">
        <v>0.22571639999999998</v>
      </c>
      <c r="Z19" s="109">
        <v>0.22571639999999998</v>
      </c>
      <c r="AA19" s="109">
        <v>0.22571639999999998</v>
      </c>
      <c r="AB19" s="109">
        <v>0.22571639999999998</v>
      </c>
      <c r="AC19" s="109">
        <v>0.1700352</v>
      </c>
      <c r="AD19" s="109">
        <v>0.33528888000000001</v>
      </c>
      <c r="AE19" s="109">
        <v>0.30403061999999997</v>
      </c>
      <c r="AF19" s="109">
        <v>0.29862179999999999</v>
      </c>
      <c r="AG19" s="109">
        <v>0.27288558000000002</v>
      </c>
      <c r="AH19" s="109">
        <v>0.25662419999999997</v>
      </c>
      <c r="AI19" s="109">
        <v>0.19050758999999998</v>
      </c>
      <c r="AJ19" s="109">
        <v>0.20194479000000001</v>
      </c>
      <c r="AK19" s="109">
        <v>0.19172700000000001</v>
      </c>
      <c r="AL19" s="109">
        <v>0.20575863</v>
      </c>
      <c r="AM19" s="109">
        <v>0.16658793</v>
      </c>
      <c r="AN19" s="109">
        <v>0.1272137958</v>
      </c>
      <c r="AO19" s="109">
        <v>0.1702472454</v>
      </c>
      <c r="AP19" s="109">
        <v>0.18521669969999999</v>
      </c>
      <c r="AQ19" s="109">
        <v>0.1910564847</v>
      </c>
      <c r="AR19" s="109">
        <v>0.19322964000000001</v>
      </c>
      <c r="AS19" s="109">
        <v>0.19975266</v>
      </c>
      <c r="AT19" s="125">
        <v>3.3757864476692045E-2</v>
      </c>
    </row>
    <row r="20" spans="1:48" ht="14.25" customHeight="1">
      <c r="A20" s="112" t="s">
        <v>406</v>
      </c>
      <c r="B20" s="113">
        <v>0.82815664060378003</v>
      </c>
      <c r="C20" s="113">
        <v>0.90428655366683508</v>
      </c>
      <c r="D20" s="113">
        <v>0.8007729914437115</v>
      </c>
      <c r="E20" s="113">
        <v>0.74102550171582626</v>
      </c>
      <c r="F20" s="113">
        <v>0.78248235595388649</v>
      </c>
      <c r="G20" s="113">
        <v>0.89017488060251804</v>
      </c>
      <c r="H20" s="113">
        <v>0.9131677410566249</v>
      </c>
      <c r="I20" s="113">
        <v>0.90253098514461327</v>
      </c>
      <c r="J20" s="113">
        <v>0.80109248673667921</v>
      </c>
      <c r="K20" s="113">
        <v>0.80859432836253098</v>
      </c>
      <c r="L20" s="113">
        <v>0.80360571206204934</v>
      </c>
      <c r="M20" s="113">
        <v>0.76266130210167649</v>
      </c>
      <c r="N20" s="113">
        <v>0.82200842411589592</v>
      </c>
      <c r="O20" s="113">
        <v>0.80562597075467901</v>
      </c>
      <c r="P20" s="113">
        <v>0.80507716737389245</v>
      </c>
      <c r="Q20" s="113">
        <v>0.80140141115181951</v>
      </c>
      <c r="R20" s="113">
        <v>0.80839251770527487</v>
      </c>
      <c r="S20" s="113">
        <v>0.78098155003311276</v>
      </c>
      <c r="T20" s="113">
        <v>0.73600944018037651</v>
      </c>
      <c r="U20" s="113">
        <v>0.77935908956041977</v>
      </c>
      <c r="V20" s="113">
        <v>0.82817822566678834</v>
      </c>
      <c r="W20" s="113">
        <v>0.84562321110115013</v>
      </c>
      <c r="X20" s="113">
        <v>0.79931238870841981</v>
      </c>
      <c r="Y20" s="113">
        <v>0.71181858108617579</v>
      </c>
      <c r="Z20" s="113">
        <v>0.76598420558004976</v>
      </c>
      <c r="AA20" s="113">
        <v>0.70606665786312794</v>
      </c>
      <c r="AB20" s="113">
        <v>0.72540079652395151</v>
      </c>
      <c r="AC20" s="113">
        <v>0.64737663819554525</v>
      </c>
      <c r="AD20" s="113">
        <v>0.70641865037507223</v>
      </c>
      <c r="AE20" s="113">
        <v>0.67181649561700163</v>
      </c>
      <c r="AF20" s="113">
        <v>0.73302366695523025</v>
      </c>
      <c r="AG20" s="113">
        <v>0.65460337892843301</v>
      </c>
      <c r="AH20" s="113">
        <v>0.65866125903962158</v>
      </c>
      <c r="AI20" s="113">
        <v>0.66617810289203405</v>
      </c>
      <c r="AJ20" s="113">
        <v>0.65409841064122787</v>
      </c>
      <c r="AK20" s="113">
        <v>0.72700417385951932</v>
      </c>
      <c r="AL20" s="113">
        <v>0.74116200840288471</v>
      </c>
      <c r="AM20" s="113">
        <v>0.7696862436224331</v>
      </c>
      <c r="AN20" s="113">
        <v>0.72805185912138337</v>
      </c>
      <c r="AO20" s="113">
        <v>0.75127910750853255</v>
      </c>
      <c r="AP20" s="113">
        <v>0.79924144933802166</v>
      </c>
      <c r="AQ20" s="113">
        <v>0.80807572478645018</v>
      </c>
      <c r="AR20" s="113">
        <v>0.84774444801078841</v>
      </c>
      <c r="AS20" s="113">
        <v>0.81952334556884177</v>
      </c>
      <c r="AT20" s="125">
        <v>-3.3289634049703087E-2</v>
      </c>
    </row>
    <row r="21" spans="1:48" ht="14.2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26"/>
    </row>
    <row r="22" spans="1:48" ht="14.25" customHeight="1">
      <c r="A22" s="112" t="s">
        <v>407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6">
        <v>8.6710561937678108</v>
      </c>
      <c r="S22" s="116">
        <v>8.6580187046508854</v>
      </c>
      <c r="T22" s="116">
        <v>8.6425654498140574</v>
      </c>
      <c r="U22" s="116">
        <v>8.8447113753065452</v>
      </c>
      <c r="V22" s="116">
        <v>9.1374148053101294</v>
      </c>
      <c r="W22" s="116">
        <v>9.4110711594023861</v>
      </c>
      <c r="X22" s="116">
        <v>9.4015257497092684</v>
      </c>
      <c r="Y22" s="116">
        <v>9.8537283770534323</v>
      </c>
      <c r="Z22" s="116">
        <v>10.073663353146975</v>
      </c>
      <c r="AA22" s="116">
        <v>9.9694936705840398</v>
      </c>
      <c r="AB22" s="116">
        <v>10.960007965919679</v>
      </c>
      <c r="AC22" s="116">
        <v>10.899270582307752</v>
      </c>
      <c r="AD22" s="116">
        <v>10.847679940799999</v>
      </c>
      <c r="AE22" s="116">
        <v>10.4139875052</v>
      </c>
      <c r="AF22" s="116">
        <v>10.778322589199998</v>
      </c>
      <c r="AG22" s="116">
        <v>10.720968433199999</v>
      </c>
      <c r="AH22" s="116">
        <v>10.83852405</v>
      </c>
      <c r="AI22" s="116">
        <v>10.904031896399999</v>
      </c>
      <c r="AJ22" s="116">
        <v>11.267485430399999</v>
      </c>
      <c r="AK22" s="116">
        <v>10.772266157999999</v>
      </c>
      <c r="AL22" s="116">
        <v>11.167202772</v>
      </c>
      <c r="AM22" s="116">
        <v>10.795841078399999</v>
      </c>
      <c r="AN22" s="116">
        <v>10.807019024399999</v>
      </c>
      <c r="AO22" s="116">
        <v>10.409403923999999</v>
      </c>
      <c r="AP22" s="116">
        <v>10.257336870789024</v>
      </c>
      <c r="AQ22" s="116">
        <v>10.442052659506931</v>
      </c>
      <c r="AR22" s="116">
        <v>11.029859353340747</v>
      </c>
      <c r="AS22" s="116">
        <v>10.494268785284616</v>
      </c>
      <c r="AT22" s="127">
        <v>-4.8558240943834874E-2</v>
      </c>
      <c r="AU22" s="339">
        <f>+AQ22/AQ9</f>
        <v>6.7471205024057013E-2</v>
      </c>
    </row>
    <row r="23" spans="1:48" ht="14.25" customHeight="1">
      <c r="A23" s="98" t="s">
        <v>408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9">
        <v>4.2879270567860619</v>
      </c>
      <c r="S23" s="109">
        <v>4.3569574854197501</v>
      </c>
      <c r="T23" s="109">
        <v>4.2802922702807251</v>
      </c>
      <c r="U23" s="109">
        <v>4.4353770097902849</v>
      </c>
      <c r="V23" s="109">
        <v>4.5468204229415132</v>
      </c>
      <c r="W23" s="109">
        <v>4.6361302263102715</v>
      </c>
      <c r="X23" s="109">
        <v>4.4964863525518091</v>
      </c>
      <c r="Y23" s="109">
        <v>4.8174034825320788</v>
      </c>
      <c r="Z23" s="109">
        <v>4.9618159081960176</v>
      </c>
      <c r="AA23" s="109">
        <v>4.8775839236597731</v>
      </c>
      <c r="AB23" s="109">
        <v>5.5675438765592959</v>
      </c>
      <c r="AC23" s="109">
        <v>5.2797261623075107</v>
      </c>
      <c r="AD23" s="109">
        <v>5.1987089267999993</v>
      </c>
      <c r="AE23" s="109">
        <v>4.6931014943999996</v>
      </c>
      <c r="AF23" s="109">
        <v>4.7816068931999993</v>
      </c>
      <c r="AG23" s="109">
        <v>4.5817797636000002</v>
      </c>
      <c r="AH23" s="109">
        <v>4.8467570328000003</v>
      </c>
      <c r="AI23" s="109">
        <v>4.8182758020000005</v>
      </c>
      <c r="AJ23" s="109">
        <v>5.2218721007999997</v>
      </c>
      <c r="AK23" s="109">
        <v>4.8598599635999999</v>
      </c>
      <c r="AL23" s="109">
        <v>4.8929699339999999</v>
      </c>
      <c r="AM23" s="109">
        <v>4.7158200360000002</v>
      </c>
      <c r="AN23" s="109">
        <v>4.9905294839999996</v>
      </c>
      <c r="AO23" s="109">
        <v>4.692249414</v>
      </c>
      <c r="AP23" s="109">
        <v>4.5148266244799995</v>
      </c>
      <c r="AQ23" s="109">
        <v>4.4807374688400001</v>
      </c>
      <c r="AR23" s="109">
        <v>5.0260629874756679</v>
      </c>
      <c r="AS23" s="109">
        <v>4.9443045083454962</v>
      </c>
      <c r="AT23" s="127">
        <v>-1.6266903008160472E-2</v>
      </c>
      <c r="AU23" s="341">
        <f>+AQ23/AQ9</f>
        <v>2.8952234419525841E-2</v>
      </c>
    </row>
    <row r="24" spans="1:48" ht="14.25" customHeight="1">
      <c r="A24" s="98" t="s">
        <v>409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9">
        <v>4.3831291369817489</v>
      </c>
      <c r="S24" s="109">
        <v>4.3010612192311362</v>
      </c>
      <c r="T24" s="109">
        <v>4.3622731795333323</v>
      </c>
      <c r="U24" s="109">
        <v>4.4093343655162593</v>
      </c>
      <c r="V24" s="109">
        <v>4.5905943823686162</v>
      </c>
      <c r="W24" s="109">
        <v>4.7749409330921138</v>
      </c>
      <c r="X24" s="109">
        <v>4.9050393971574584</v>
      </c>
      <c r="Y24" s="109">
        <v>5.0363248945213535</v>
      </c>
      <c r="Z24" s="109">
        <v>5.111847444950957</v>
      </c>
      <c r="AA24" s="109">
        <v>5.0919097469242676</v>
      </c>
      <c r="AB24" s="109">
        <v>5.3924640893603843</v>
      </c>
      <c r="AC24" s="109">
        <v>5.6195444200002411</v>
      </c>
      <c r="AD24" s="109">
        <v>5.6489710139999998</v>
      </c>
      <c r="AE24" s="109">
        <v>5.7208860108000001</v>
      </c>
      <c r="AF24" s="109">
        <v>5.9967156959999999</v>
      </c>
      <c r="AG24" s="109">
        <v>6.1391886695999993</v>
      </c>
      <c r="AH24" s="109">
        <v>5.9917670171999999</v>
      </c>
      <c r="AI24" s="109">
        <v>6.0857560943999998</v>
      </c>
      <c r="AJ24" s="109">
        <v>6.0456133295999992</v>
      </c>
      <c r="AK24" s="109">
        <v>5.912406194399999</v>
      </c>
      <c r="AL24" s="109">
        <v>6.2742328379999996</v>
      </c>
      <c r="AM24" s="109">
        <v>6.0800210423999994</v>
      </c>
      <c r="AN24" s="109">
        <v>5.8164895403999992</v>
      </c>
      <c r="AO24" s="109">
        <v>5.7171545100000003</v>
      </c>
      <c r="AP24" s="109">
        <v>5.7425102463090241</v>
      </c>
      <c r="AQ24" s="109">
        <v>5.9613151906669319</v>
      </c>
      <c r="AR24" s="109">
        <v>6.0037963658650799</v>
      </c>
      <c r="AS24" s="109">
        <v>5.5499642769391198</v>
      </c>
      <c r="AT24" s="127">
        <v>-7.5590853065278463E-2</v>
      </c>
      <c r="AU24" s="339">
        <f>+AQ24/AQ9</f>
        <v>3.8518970604531175E-2</v>
      </c>
      <c r="AV24" s="341">
        <f>3/(AQ9-AQ23)</f>
        <v>1.996242277476094E-2</v>
      </c>
    </row>
    <row r="25" spans="1:48" ht="14.25" customHeight="1" thickBo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95"/>
      <c r="AR25" s="95"/>
      <c r="AS25" s="95"/>
      <c r="AT25" s="122"/>
      <c r="AV25" s="341">
        <f>(AQ24-3)/(AQ9-AQ23-3)</f>
        <v>2.0106380673275234E-2</v>
      </c>
    </row>
    <row r="26" spans="1:48" ht="14.25" customHeight="1">
      <c r="A26" s="117" t="s">
        <v>410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36">
        <v>140.87527161240294</v>
      </c>
      <c r="AQ26" s="139">
        <v>142.72518120627331</v>
      </c>
      <c r="AR26" s="139">
        <v>140.34862052075391</v>
      </c>
      <c r="AS26" s="133">
        <v>139.51496473817264</v>
      </c>
      <c r="AT26" s="141">
        <v>-5.9398929571808923E-3</v>
      </c>
    </row>
    <row r="27" spans="1:48" ht="14.25" customHeight="1">
      <c r="A27" s="98" t="s">
        <v>411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7">
        <v>9.3673374360819128</v>
      </c>
      <c r="AQ27" s="109">
        <v>10.250533450490867</v>
      </c>
      <c r="AR27" s="109">
        <v>9.2788029721051561</v>
      </c>
      <c r="AS27" s="134">
        <v>9.1253151554649126</v>
      </c>
      <c r="AT27" s="141">
        <v>-1.6541769137858986E-2</v>
      </c>
    </row>
    <row r="28" spans="1:48" ht="14.25" customHeight="1">
      <c r="A28" s="98" t="s">
        <v>412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7">
        <v>52.064838229413738</v>
      </c>
      <c r="AQ28" s="109">
        <v>52.526561895083766</v>
      </c>
      <c r="AR28" s="109">
        <v>52.53026470082461</v>
      </c>
      <c r="AS28" s="134">
        <v>52.237333218018343</v>
      </c>
      <c r="AT28" s="141">
        <v>-5.5764326426793742E-3</v>
      </c>
    </row>
    <row r="29" spans="1:48" ht="14.25" customHeight="1">
      <c r="A29" s="99" t="s">
        <v>413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7">
        <v>1.5557678970283151</v>
      </c>
      <c r="AQ29" s="109">
        <v>1.5070425718062852</v>
      </c>
      <c r="AR29" s="109">
        <v>1.2873949038461663</v>
      </c>
      <c r="AS29" s="134">
        <v>1.5041442093256476</v>
      </c>
      <c r="AT29" s="141">
        <v>0.16836271825523808</v>
      </c>
    </row>
    <row r="30" spans="1:48" ht="14.25" customHeight="1">
      <c r="A30" s="99" t="s">
        <v>414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7">
        <v>8.3834348819206674</v>
      </c>
      <c r="AQ30" s="109">
        <v>8.6146827567762969</v>
      </c>
      <c r="AR30" s="109">
        <v>9.2664754620795726</v>
      </c>
      <c r="AS30" s="134">
        <v>9.4364340147613799</v>
      </c>
      <c r="AT30" s="141">
        <v>1.8341229454210017E-2</v>
      </c>
    </row>
    <row r="31" spans="1:48" ht="14.25" customHeight="1">
      <c r="A31" s="99" t="s">
        <v>415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7">
        <v>9.6315701777854557</v>
      </c>
      <c r="AQ31" s="109">
        <v>9.8761514932088996</v>
      </c>
      <c r="AR31" s="109">
        <v>9.7162264743024949</v>
      </c>
      <c r="AS31" s="134">
        <v>9.6918138824558397</v>
      </c>
      <c r="AT31" s="141">
        <v>-2.512558956012545E-3</v>
      </c>
    </row>
    <row r="32" spans="1:48" ht="14.25" customHeight="1">
      <c r="A32" s="99" t="s">
        <v>416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7">
        <v>2.6691138485904489</v>
      </c>
      <c r="AQ32" s="109">
        <v>2.7482158602016993</v>
      </c>
      <c r="AR32" s="109">
        <v>3.0258919804233924</v>
      </c>
      <c r="AS32" s="134">
        <v>2.954085519756704</v>
      </c>
      <c r="AT32" s="141">
        <v>-2.3730675493789821E-2</v>
      </c>
    </row>
    <row r="33" spans="1:46" ht="14.25" customHeight="1">
      <c r="A33" s="99" t="s">
        <v>417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7">
        <v>23.820735524014079</v>
      </c>
      <c r="AQ33" s="109">
        <v>23.559401854398491</v>
      </c>
      <c r="AR33" s="109">
        <v>23.143649281938217</v>
      </c>
      <c r="AS33" s="134">
        <v>22.900127302251864</v>
      </c>
      <c r="AT33" s="141">
        <v>-1.052219452169123E-2</v>
      </c>
    </row>
    <row r="34" spans="1:46" ht="14.25" customHeight="1">
      <c r="A34" s="99" t="s">
        <v>418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7">
        <v>6.0042159000747723</v>
      </c>
      <c r="AQ34" s="109">
        <v>6.2210673586920961</v>
      </c>
      <c r="AR34" s="109">
        <v>6.0906265982347678</v>
      </c>
      <c r="AS34" s="134">
        <v>5.7507282894669123</v>
      </c>
      <c r="AT34" s="141">
        <v>-5.5806788231996918E-2</v>
      </c>
    </row>
    <row r="35" spans="1:46" ht="14.25" customHeight="1">
      <c r="A35" s="98" t="s">
        <v>419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7">
        <v>33.767231935391962</v>
      </c>
      <c r="AQ35" s="109">
        <v>34.462338441724725</v>
      </c>
      <c r="AR35" s="109">
        <v>34.500524261361619</v>
      </c>
      <c r="AS35" s="134">
        <v>34.008842107584506</v>
      </c>
      <c r="AT35" s="141">
        <v>-1.4251440066601062E-2</v>
      </c>
    </row>
    <row r="36" spans="1:46" ht="14.25" customHeight="1">
      <c r="A36" s="98" t="s">
        <v>420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7">
        <v>44.913609296275325</v>
      </c>
      <c r="AQ36" s="109">
        <v>45.156797710846199</v>
      </c>
      <c r="AR36" s="109">
        <v>43.594248160790642</v>
      </c>
      <c r="AS36" s="134">
        <v>43.900845108402955</v>
      </c>
      <c r="AT36" s="141">
        <v>7.032967892495412E-3</v>
      </c>
    </row>
    <row r="37" spans="1:46" ht="14.25" customHeight="1" thickBot="1">
      <c r="A37" s="103" t="s">
        <v>421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8">
        <v>0.76225471524001798</v>
      </c>
      <c r="AQ37" s="140">
        <v>0.32894970812772517</v>
      </c>
      <c r="AR37" s="140">
        <v>0.44478042567189841</v>
      </c>
      <c r="AS37" s="135">
        <v>0.24262914870191732</v>
      </c>
      <c r="AT37" s="141">
        <v>-0.45449679280423683</v>
      </c>
    </row>
    <row r="38" spans="1:46" ht="14.25" customHeight="1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95"/>
      <c r="AR38" s="95"/>
      <c r="AS38" s="95"/>
      <c r="AT38" s="122"/>
    </row>
    <row r="39" spans="1:46" ht="14.25" customHeight="1">
      <c r="A39" s="117" t="s">
        <v>422</v>
      </c>
      <c r="B39" s="116">
        <v>58.287760309799992</v>
      </c>
      <c r="C39" s="116">
        <v>62.301020630399996</v>
      </c>
      <c r="D39" s="116">
        <v>65.301393162599993</v>
      </c>
      <c r="E39" s="116">
        <v>67.525649378099999</v>
      </c>
      <c r="F39" s="116">
        <v>68.016179463300006</v>
      </c>
      <c r="G39" s="116">
        <v>68.406692638500004</v>
      </c>
      <c r="H39" s="116">
        <v>69.89449707</v>
      </c>
      <c r="I39" s="116">
        <v>71.867845913400004</v>
      </c>
      <c r="J39" s="116">
        <v>75.794910142500001</v>
      </c>
      <c r="K39" s="116">
        <v>81.407244095099998</v>
      </c>
      <c r="L39" s="116">
        <v>85.507802136899997</v>
      </c>
      <c r="M39" s="116">
        <v>87.138058148099987</v>
      </c>
      <c r="N39" s="116">
        <v>90.290043726299984</v>
      </c>
      <c r="O39" s="116">
        <v>92.486444158799998</v>
      </c>
      <c r="P39" s="116">
        <v>95.308836307200011</v>
      </c>
      <c r="Q39" s="116">
        <v>97.763611915079323</v>
      </c>
      <c r="R39" s="116">
        <v>103.6417079911939</v>
      </c>
      <c r="S39" s="116">
        <v>105.25083542691993</v>
      </c>
      <c r="T39" s="116">
        <v>103.31792787095208</v>
      </c>
      <c r="U39" s="116">
        <v>107.45647903307282</v>
      </c>
      <c r="V39" s="116">
        <v>109.57036532877564</v>
      </c>
      <c r="W39" s="116">
        <v>111.82812944005499</v>
      </c>
      <c r="X39" s="116">
        <v>114.92739548864117</v>
      </c>
      <c r="Y39" s="116">
        <v>118.64960496287055</v>
      </c>
      <c r="Z39" s="116">
        <v>119.10456094051656</v>
      </c>
      <c r="AA39" s="116">
        <v>121.99382341942869</v>
      </c>
      <c r="AB39" s="116">
        <v>124.60918697469971</v>
      </c>
      <c r="AC39" s="116">
        <v>127.06124632044153</v>
      </c>
      <c r="AD39" s="116">
        <v>130.00963181446076</v>
      </c>
      <c r="AE39" s="116">
        <v>130.62846679347246</v>
      </c>
      <c r="AF39" s="116">
        <v>136.18765100065718</v>
      </c>
      <c r="AG39" s="116">
        <v>138.18230513323331</v>
      </c>
      <c r="AH39" s="116">
        <v>141.36728338895927</v>
      </c>
      <c r="AI39" s="116">
        <v>142.34669782538597</v>
      </c>
      <c r="AJ39" s="116">
        <v>140.21752063936941</v>
      </c>
      <c r="AK39" s="116">
        <v>140.38076274964087</v>
      </c>
      <c r="AL39" s="116">
        <v>144.40366081807764</v>
      </c>
      <c r="AM39" s="116">
        <v>141.82702055852019</v>
      </c>
      <c r="AN39" s="116">
        <v>141.07076438223882</v>
      </c>
      <c r="AO39" s="116">
        <v>139.9994206803847</v>
      </c>
      <c r="AP39" s="136">
        <v>140.46943686836758</v>
      </c>
      <c r="AQ39" s="139">
        <v>142.59282280300363</v>
      </c>
      <c r="AR39" s="139">
        <v>140.31501498151198</v>
      </c>
      <c r="AS39" s="133">
        <v>141.48798234464076</v>
      </c>
      <c r="AT39" s="141">
        <v>8.3595284744353293E-3</v>
      </c>
    </row>
    <row r="40" spans="1:46" ht="14.25" customHeight="1">
      <c r="A40" s="98" t="s">
        <v>411</v>
      </c>
      <c r="B40" s="109">
        <v>1.3244307569999998</v>
      </c>
      <c r="C40" s="109">
        <v>1.3990881618</v>
      </c>
      <c r="D40" s="109">
        <v>1.4613561495</v>
      </c>
      <c r="E40" s="109">
        <v>1.5447735729000001</v>
      </c>
      <c r="F40" s="109">
        <v>1.4842113929999998</v>
      </c>
      <c r="G40" s="109">
        <v>1.4657039685</v>
      </c>
      <c r="H40" s="109">
        <v>1.6001325683999998</v>
      </c>
      <c r="I40" s="109">
        <v>1.6973213328000001</v>
      </c>
      <c r="J40" s="109">
        <v>1.8208190745000001</v>
      </c>
      <c r="K40" s="109">
        <v>1.8116550585</v>
      </c>
      <c r="L40" s="109">
        <v>2.1039963533999999</v>
      </c>
      <c r="M40" s="109">
        <v>2.1131226557999998</v>
      </c>
      <c r="N40" s="109">
        <v>2.0508089894999997</v>
      </c>
      <c r="O40" s="109">
        <v>2.0381612813999999</v>
      </c>
      <c r="P40" s="109">
        <v>2.3624856819</v>
      </c>
      <c r="Q40" s="109">
        <v>2.3848972127999999</v>
      </c>
      <c r="R40" s="109">
        <v>2.4543520831593</v>
      </c>
      <c r="S40" s="109">
        <v>2.5396562507392262</v>
      </c>
      <c r="T40" s="109">
        <v>2.699541788820631</v>
      </c>
      <c r="U40" s="109">
        <v>2.8062380287618813</v>
      </c>
      <c r="V40" s="109">
        <v>3.0407534103511691</v>
      </c>
      <c r="W40" s="109">
        <v>3.2065272265140359</v>
      </c>
      <c r="X40" s="109">
        <v>3.5143737148152931</v>
      </c>
      <c r="Y40" s="109">
        <v>4.0680042769654552</v>
      </c>
      <c r="Z40" s="109">
        <v>4.267459968184296</v>
      </c>
      <c r="AA40" s="109">
        <v>4.5654334400897634</v>
      </c>
      <c r="AB40" s="109">
        <v>4.66378327774152</v>
      </c>
      <c r="AC40" s="109">
        <v>5.1152260763203197</v>
      </c>
      <c r="AD40" s="109">
        <v>5.1934971654293038</v>
      </c>
      <c r="AE40" s="109">
        <v>5.1734612341981441</v>
      </c>
      <c r="AF40" s="109">
        <v>5.065593097287528</v>
      </c>
      <c r="AG40" s="109">
        <v>5.3308325025271079</v>
      </c>
      <c r="AH40" s="109">
        <v>6.031300594911408</v>
      </c>
      <c r="AI40" s="109">
        <v>6.6110867393963764</v>
      </c>
      <c r="AJ40" s="109">
        <v>7.1140797879198479</v>
      </c>
      <c r="AK40" s="109">
        <v>7.2832198467505318</v>
      </c>
      <c r="AL40" s="109">
        <v>7.6758584025337919</v>
      </c>
      <c r="AM40" s="109">
        <v>7.5084137096656676</v>
      </c>
      <c r="AN40" s="109">
        <v>8.2932992682280187</v>
      </c>
      <c r="AO40" s="109">
        <v>8.5248121734477724</v>
      </c>
      <c r="AP40" s="137">
        <v>9.6085841591921746</v>
      </c>
      <c r="AQ40" s="109">
        <v>10.001513579149007</v>
      </c>
      <c r="AR40" s="109">
        <v>9.2349594474697074</v>
      </c>
      <c r="AS40" s="134">
        <v>9.2225242200355186</v>
      </c>
      <c r="AT40" s="141">
        <v>-1.3465383908747297E-3</v>
      </c>
    </row>
    <row r="41" spans="1:46" ht="14.25" customHeight="1">
      <c r="A41" s="98" t="s">
        <v>412</v>
      </c>
      <c r="B41" s="109">
        <v>20.749029253199996</v>
      </c>
      <c r="C41" s="109">
        <v>21.7552315302</v>
      </c>
      <c r="D41" s="109">
        <v>23.300659399499999</v>
      </c>
      <c r="E41" s="109">
        <v>25.114568229900001</v>
      </c>
      <c r="F41" s="109">
        <v>26.005284585000002</v>
      </c>
      <c r="G41" s="109">
        <v>26.695242697500003</v>
      </c>
      <c r="H41" s="109">
        <v>27.518127721199999</v>
      </c>
      <c r="I41" s="109">
        <v>27.942659824500002</v>
      </c>
      <c r="J41" s="109">
        <v>29.226504235500002</v>
      </c>
      <c r="K41" s="109">
        <v>32.853684213899996</v>
      </c>
      <c r="L41" s="109">
        <v>35.467842848400004</v>
      </c>
      <c r="M41" s="109">
        <v>36.098383007700001</v>
      </c>
      <c r="N41" s="109">
        <v>37.307117789999985</v>
      </c>
      <c r="O41" s="109">
        <v>38.4876116298</v>
      </c>
      <c r="P41" s="109">
        <v>39.562653082500006</v>
      </c>
      <c r="Q41" s="109">
        <v>40.899257050233118</v>
      </c>
      <c r="R41" s="109">
        <v>42.339133802701312</v>
      </c>
      <c r="S41" s="109">
        <v>43.054785043364454</v>
      </c>
      <c r="T41" s="109">
        <v>41.793759562552687</v>
      </c>
      <c r="U41" s="109">
        <v>45.281443509376984</v>
      </c>
      <c r="V41" s="109">
        <v>46.432086376319582</v>
      </c>
      <c r="W41" s="109">
        <v>47.000161716872839</v>
      </c>
      <c r="X41" s="109">
        <v>47.72622964711357</v>
      </c>
      <c r="Y41" s="109">
        <v>49.488543530755251</v>
      </c>
      <c r="Z41" s="109">
        <v>48.844706780411855</v>
      </c>
      <c r="AA41" s="109">
        <v>50.119402475918605</v>
      </c>
      <c r="AB41" s="109">
        <v>51.814303494619011</v>
      </c>
      <c r="AC41" s="109">
        <v>52.332605786724919</v>
      </c>
      <c r="AD41" s="109">
        <v>54.728571711486829</v>
      </c>
      <c r="AE41" s="109">
        <v>53.014205822293434</v>
      </c>
      <c r="AF41" s="109">
        <v>55.762004308739783</v>
      </c>
      <c r="AG41" s="109">
        <v>56.785554729456905</v>
      </c>
      <c r="AH41" s="109">
        <v>54.635221629327738</v>
      </c>
      <c r="AI41" s="109">
        <v>54.860062773673299</v>
      </c>
      <c r="AJ41" s="109">
        <v>52.7713232112892</v>
      </c>
      <c r="AK41" s="109">
        <v>50.652027359526407</v>
      </c>
      <c r="AL41" s="109">
        <v>54.750482452350717</v>
      </c>
      <c r="AM41" s="109">
        <v>54.877961845474239</v>
      </c>
      <c r="AN41" s="109">
        <v>52.095570568680252</v>
      </c>
      <c r="AO41" s="109">
        <v>51.815044696007838</v>
      </c>
      <c r="AP41" s="137">
        <v>51.841744799441877</v>
      </c>
      <c r="AQ41" s="109">
        <v>52.622096793312451</v>
      </c>
      <c r="AR41" s="109">
        <v>52.286727818170704</v>
      </c>
      <c r="AS41" s="134">
        <v>52.238412322698814</v>
      </c>
      <c r="AT41" s="141">
        <v>-9.240489410603514E-4</v>
      </c>
    </row>
    <row r="42" spans="1:46" ht="14.25" customHeight="1">
      <c r="A42" s="99" t="s">
        <v>413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9">
        <v>0.6899976213107184</v>
      </c>
      <c r="S42" s="109">
        <v>0.84233929793233675</v>
      </c>
      <c r="T42" s="109">
        <v>1.0096160095618452</v>
      </c>
      <c r="U42" s="109">
        <v>1.1117431112681806</v>
      </c>
      <c r="V42" s="109">
        <v>1.2145071406092875</v>
      </c>
      <c r="W42" s="109">
        <v>1.3756164549908398</v>
      </c>
      <c r="X42" s="109">
        <v>1.3820092057779911</v>
      </c>
      <c r="Y42" s="109">
        <v>1.3934211724683683</v>
      </c>
      <c r="Z42" s="109">
        <v>1.1685502899568729</v>
      </c>
      <c r="AA42" s="109">
        <v>1.0149037077390768</v>
      </c>
      <c r="AB42" s="109">
        <v>1.2285429722017955</v>
      </c>
      <c r="AC42" s="109">
        <v>1.2665315847697955</v>
      </c>
      <c r="AD42" s="109">
        <v>1.1981489255516555</v>
      </c>
      <c r="AE42" s="109">
        <v>1.1264840161659142</v>
      </c>
      <c r="AF42" s="109">
        <v>1.0404702005988204</v>
      </c>
      <c r="AG42" s="109">
        <v>1.1599555861146276</v>
      </c>
      <c r="AH42" s="109">
        <v>1.1810561153450363</v>
      </c>
      <c r="AI42" s="109">
        <v>1.3352471926694567</v>
      </c>
      <c r="AJ42" s="109">
        <v>1.5439688181730549</v>
      </c>
      <c r="AK42" s="109">
        <v>1.7610562214027821</v>
      </c>
      <c r="AL42" s="109">
        <v>1.5316892192771676</v>
      </c>
      <c r="AM42" s="109">
        <v>1.4384966300917417</v>
      </c>
      <c r="AN42" s="109">
        <v>1.6615586269320335</v>
      </c>
      <c r="AO42" s="109">
        <v>1.6754326773507682</v>
      </c>
      <c r="AP42" s="137">
        <v>1.607484823573968</v>
      </c>
      <c r="AQ42" s="109">
        <v>1.4555078534883166</v>
      </c>
      <c r="AR42" s="109">
        <v>1.3028546956784905</v>
      </c>
      <c r="AS42" s="134">
        <v>1.3008058790749126</v>
      </c>
      <c r="AT42" s="141">
        <v>-1.5725595573886642E-3</v>
      </c>
    </row>
    <row r="43" spans="1:46" ht="14.25" customHeight="1">
      <c r="A43" s="99" t="s">
        <v>414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9">
        <v>5.4566444060906401</v>
      </c>
      <c r="S43" s="109">
        <v>5.3133427757000522</v>
      </c>
      <c r="T43" s="109">
        <v>5.2790997077640718</v>
      </c>
      <c r="U43" s="109">
        <v>5.7484702877567759</v>
      </c>
      <c r="V43" s="109">
        <v>6.0373355880831836</v>
      </c>
      <c r="W43" s="109">
        <v>6.1138021113091083</v>
      </c>
      <c r="X43" s="109">
        <v>6.1752607011713883</v>
      </c>
      <c r="Y43" s="109">
        <v>6.666717851548956</v>
      </c>
      <c r="Z43" s="109">
        <v>6.3769184077945678</v>
      </c>
      <c r="AA43" s="109">
        <v>6.5914420143036594</v>
      </c>
      <c r="AB43" s="109">
        <v>6.7435812374887796</v>
      </c>
      <c r="AC43" s="109">
        <v>7.120564720500635</v>
      </c>
      <c r="AD43" s="109">
        <v>7.5380424175408685</v>
      </c>
      <c r="AE43" s="109">
        <v>7.3288774195517163</v>
      </c>
      <c r="AF43" s="109">
        <v>7.6407381126704879</v>
      </c>
      <c r="AG43" s="109">
        <v>8.2308571969308115</v>
      </c>
      <c r="AH43" s="109">
        <v>7.9506405813285355</v>
      </c>
      <c r="AI43" s="109">
        <v>7.7935994445323873</v>
      </c>
      <c r="AJ43" s="109">
        <v>8.1175967244105482</v>
      </c>
      <c r="AK43" s="109">
        <v>8.1535732624766162</v>
      </c>
      <c r="AL43" s="109">
        <v>8.1114593672469599</v>
      </c>
      <c r="AM43" s="109">
        <v>8.057305965790043</v>
      </c>
      <c r="AN43" s="109">
        <v>7.0785855839196357</v>
      </c>
      <c r="AO43" s="109">
        <v>7.9266667204541523</v>
      </c>
      <c r="AP43" s="137">
        <v>8.32732640402544</v>
      </c>
      <c r="AQ43" s="109">
        <v>8.8042676239134003</v>
      </c>
      <c r="AR43" s="109">
        <v>9.0652002023756513</v>
      </c>
      <c r="AS43" s="134">
        <v>9.3243255921009709</v>
      </c>
      <c r="AT43" s="141">
        <v>2.8584629565865827E-2</v>
      </c>
    </row>
    <row r="44" spans="1:46" ht="14.25" customHeight="1">
      <c r="A44" s="99" t="s">
        <v>415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9">
        <v>9.9235567534406748</v>
      </c>
      <c r="S44" s="109">
        <v>10.557193731697042</v>
      </c>
      <c r="T44" s="109">
        <v>10.354562808420635</v>
      </c>
      <c r="U44" s="109">
        <v>11.13285326698152</v>
      </c>
      <c r="V44" s="109">
        <v>11.400757454300148</v>
      </c>
      <c r="W44" s="109">
        <v>11.756106857447676</v>
      </c>
      <c r="X44" s="109">
        <v>11.25537522559074</v>
      </c>
      <c r="Y44" s="109">
        <v>11.646102495995425</v>
      </c>
      <c r="Z44" s="109">
        <v>11.287903787736408</v>
      </c>
      <c r="AA44" s="109">
        <v>12.495435863700383</v>
      </c>
      <c r="AB44" s="109">
        <v>13.370387585285231</v>
      </c>
      <c r="AC44" s="109">
        <v>13.544186966030267</v>
      </c>
      <c r="AD44" s="109">
        <v>14.53819991448546</v>
      </c>
      <c r="AE44" s="109">
        <v>13.380254030063591</v>
      </c>
      <c r="AF44" s="109">
        <v>15.115457458957787</v>
      </c>
      <c r="AG44" s="109">
        <v>14.901479580607162</v>
      </c>
      <c r="AH44" s="109">
        <v>13.301839876016375</v>
      </c>
      <c r="AI44" s="109">
        <v>12.401220694822271</v>
      </c>
      <c r="AJ44" s="109">
        <v>12.153557234767284</v>
      </c>
      <c r="AK44" s="109">
        <v>12.94226467931664</v>
      </c>
      <c r="AL44" s="109">
        <v>13.396566359387123</v>
      </c>
      <c r="AM44" s="109">
        <v>13.462181209085616</v>
      </c>
      <c r="AN44" s="109">
        <v>12.13714902968125</v>
      </c>
      <c r="AO44" s="109">
        <v>9.7070515775823587</v>
      </c>
      <c r="AP44" s="137">
        <v>9.636639723314568</v>
      </c>
      <c r="AQ44" s="109">
        <v>9.8191203487797605</v>
      </c>
      <c r="AR44" s="109">
        <v>9.7612649676832675</v>
      </c>
      <c r="AS44" s="134">
        <v>9.5305453490969985</v>
      </c>
      <c r="AT44" s="141">
        <v>-2.3636241752489573E-2</v>
      </c>
    </row>
    <row r="45" spans="1:46" ht="14.25" customHeight="1">
      <c r="A45" s="99" t="s">
        <v>416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9">
        <v>2.5547428417951439</v>
      </c>
      <c r="S45" s="109">
        <v>2.4936131567119464</v>
      </c>
      <c r="T45" s="109">
        <v>2.4827117523540552</v>
      </c>
      <c r="U45" s="109">
        <v>2.5640613935262322</v>
      </c>
      <c r="V45" s="109">
        <v>2.5380014398213717</v>
      </c>
      <c r="W45" s="109">
        <v>2.4874276530383388</v>
      </c>
      <c r="X45" s="109">
        <v>2.4570677935746432</v>
      </c>
      <c r="Y45" s="109">
        <v>2.600588718060473</v>
      </c>
      <c r="Z45" s="109">
        <v>2.5066722781757558</v>
      </c>
      <c r="AA45" s="109">
        <v>2.4064906786154499</v>
      </c>
      <c r="AB45" s="109">
        <v>2.3721112148359862</v>
      </c>
      <c r="AC45" s="109">
        <v>2.560792610953555</v>
      </c>
      <c r="AD45" s="109">
        <v>2.5871031476288779</v>
      </c>
      <c r="AE45" s="109">
        <v>2.4377333818549141</v>
      </c>
      <c r="AF45" s="109">
        <v>2.316799192299797</v>
      </c>
      <c r="AG45" s="109">
        <v>2.7132415376808097</v>
      </c>
      <c r="AH45" s="109">
        <v>2.8593018231648482</v>
      </c>
      <c r="AI45" s="109">
        <v>2.8106485021953507</v>
      </c>
      <c r="AJ45" s="109">
        <v>2.728474588549501</v>
      </c>
      <c r="AK45" s="109">
        <v>2.5708570357216716</v>
      </c>
      <c r="AL45" s="109">
        <v>2.5295553332100287</v>
      </c>
      <c r="AM45" s="109">
        <v>2.5658490744329581</v>
      </c>
      <c r="AN45" s="109">
        <v>2.6451117432485929</v>
      </c>
      <c r="AO45" s="109">
        <v>2.6967191820093395</v>
      </c>
      <c r="AP45" s="137">
        <v>2.6572155201680148</v>
      </c>
      <c r="AQ45" s="109">
        <v>2.8374378216732326</v>
      </c>
      <c r="AR45" s="109">
        <v>2.896028430643832</v>
      </c>
      <c r="AS45" s="134">
        <v>2.9664391155577268</v>
      </c>
      <c r="AT45" s="141">
        <v>2.4312843122966665E-2</v>
      </c>
    </row>
    <row r="46" spans="1:46" ht="14.25" customHeight="1">
      <c r="A46" s="99" t="s">
        <v>417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9">
        <v>19.676561061819204</v>
      </c>
      <c r="S46" s="109">
        <v>20.19565703448875</v>
      </c>
      <c r="T46" s="109">
        <v>19.107680838975792</v>
      </c>
      <c r="U46" s="109">
        <v>20.75736503782235</v>
      </c>
      <c r="V46" s="109">
        <v>20.717902431310932</v>
      </c>
      <c r="W46" s="109">
        <v>20.706271832774231</v>
      </c>
      <c r="X46" s="109">
        <v>21.47833158786144</v>
      </c>
      <c r="Y46" s="109">
        <v>22.090478817361785</v>
      </c>
      <c r="Z46" s="109">
        <v>22.590248177475754</v>
      </c>
      <c r="AA46" s="109">
        <v>22.865827349863476</v>
      </c>
      <c r="AB46" s="109">
        <v>22.847674793922288</v>
      </c>
      <c r="AC46" s="109">
        <v>22.645521319218695</v>
      </c>
      <c r="AD46" s="109">
        <v>22.802485409162244</v>
      </c>
      <c r="AE46" s="109">
        <v>22.970188940069374</v>
      </c>
      <c r="AF46" s="109">
        <v>24.010523685981322</v>
      </c>
      <c r="AG46" s="109">
        <v>24.158564157123141</v>
      </c>
      <c r="AH46" s="109">
        <v>23.808716030617813</v>
      </c>
      <c r="AI46" s="109">
        <v>24.728465965070377</v>
      </c>
      <c r="AJ46" s="109">
        <v>22.682898279576793</v>
      </c>
      <c r="AK46" s="109">
        <v>20.219898902933913</v>
      </c>
      <c r="AL46" s="109">
        <v>24.298876353833457</v>
      </c>
      <c r="AM46" s="109">
        <v>24.865886448368098</v>
      </c>
      <c r="AN46" s="109">
        <v>23.5345662508572</v>
      </c>
      <c r="AO46" s="109">
        <v>23.810263908429167</v>
      </c>
      <c r="AP46" s="137">
        <v>23.579615005479109</v>
      </c>
      <c r="AQ46" s="109">
        <v>23.48743224770892</v>
      </c>
      <c r="AR46" s="109">
        <v>23.232170516099043</v>
      </c>
      <c r="AS46" s="134">
        <v>23.019322175065152</v>
      </c>
      <c r="AT46" s="141">
        <v>-9.1617931646289508E-3</v>
      </c>
    </row>
    <row r="47" spans="1:46" ht="14.25" customHeight="1">
      <c r="A47" s="99" t="s">
        <v>418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9">
        <v>4.0376311182449278</v>
      </c>
      <c r="S47" s="109">
        <v>3.6526390468343282</v>
      </c>
      <c r="T47" s="109">
        <v>3.5600884454762927</v>
      </c>
      <c r="U47" s="109">
        <v>3.9669504120219239</v>
      </c>
      <c r="V47" s="109">
        <v>4.5235823221946516</v>
      </c>
      <c r="W47" s="109">
        <v>4.5609368073126486</v>
      </c>
      <c r="X47" s="109">
        <v>4.9781851331373721</v>
      </c>
      <c r="Y47" s="109">
        <v>5.0912344753202516</v>
      </c>
      <c r="Z47" s="109">
        <v>4.9144138392724912</v>
      </c>
      <c r="AA47" s="109">
        <v>4.74530286169656</v>
      </c>
      <c r="AB47" s="109">
        <v>5.2520056908849364</v>
      </c>
      <c r="AC47" s="109">
        <v>5.1950085852519718</v>
      </c>
      <c r="AD47" s="109">
        <v>6.0645918971177277</v>
      </c>
      <c r="AE47" s="109">
        <v>5.7706680345879242</v>
      </c>
      <c r="AF47" s="109">
        <v>5.6380156582315681</v>
      </c>
      <c r="AG47" s="109">
        <v>5.6214566710003435</v>
      </c>
      <c r="AH47" s="109">
        <v>5.5336672028551321</v>
      </c>
      <c r="AI47" s="109">
        <v>5.7908809743834597</v>
      </c>
      <c r="AJ47" s="109">
        <v>5.5448275658120281</v>
      </c>
      <c r="AK47" s="109">
        <v>5.00437725767478</v>
      </c>
      <c r="AL47" s="109">
        <v>4.8823358193959754</v>
      </c>
      <c r="AM47" s="109">
        <v>4.4882425177057801</v>
      </c>
      <c r="AN47" s="109">
        <v>5.0385993340415398</v>
      </c>
      <c r="AO47" s="109">
        <v>5.9989106301820563</v>
      </c>
      <c r="AP47" s="137">
        <v>6.0334633228807801</v>
      </c>
      <c r="AQ47" s="109">
        <v>6.2183308977488156</v>
      </c>
      <c r="AR47" s="109">
        <v>6.0292090056904195</v>
      </c>
      <c r="AS47" s="134">
        <v>6.0969742118030519</v>
      </c>
      <c r="AT47" s="141">
        <v>1.1239485320325704E-2</v>
      </c>
    </row>
    <row r="48" spans="1:46" ht="14.25" customHeight="1">
      <c r="A48" s="98" t="s">
        <v>419</v>
      </c>
      <c r="B48" s="109">
        <v>9.1241103303000006</v>
      </c>
      <c r="C48" s="109">
        <v>9.6614882981999983</v>
      </c>
      <c r="D48" s="109">
        <v>10.3024461726</v>
      </c>
      <c r="E48" s="109">
        <v>10.8612159282</v>
      </c>
      <c r="F48" s="109">
        <v>10.954412638200001</v>
      </c>
      <c r="G48" s="109">
        <v>11.527476772499998</v>
      </c>
      <c r="H48" s="109">
        <v>11.963543180400002</v>
      </c>
      <c r="I48" s="109">
        <v>12.6811107504</v>
      </c>
      <c r="J48" s="109">
        <v>13.731265837799999</v>
      </c>
      <c r="K48" s="109">
        <v>14.634478940399999</v>
      </c>
      <c r="L48" s="109">
        <v>15.558859485000001</v>
      </c>
      <c r="M48" s="109">
        <v>16.311998427299997</v>
      </c>
      <c r="N48" s="109">
        <v>17.315064836099999</v>
      </c>
      <c r="O48" s="109">
        <v>18.038084660099997</v>
      </c>
      <c r="P48" s="109">
        <v>19.225191487500002</v>
      </c>
      <c r="Q48" s="109">
        <v>19.396141018646205</v>
      </c>
      <c r="R48" s="109">
        <v>19.429819912575322</v>
      </c>
      <c r="S48" s="109">
        <v>19.594452615626054</v>
      </c>
      <c r="T48" s="109">
        <v>19.349041178470426</v>
      </c>
      <c r="U48" s="109">
        <v>19.751858471070214</v>
      </c>
      <c r="V48" s="109">
        <v>20.076637297951585</v>
      </c>
      <c r="W48" s="109">
        <v>20.992096314474264</v>
      </c>
      <c r="X48" s="109">
        <v>21.684676301149427</v>
      </c>
      <c r="Y48" s="109">
        <v>23.246743613545835</v>
      </c>
      <c r="Z48" s="109">
        <v>23.411997794467045</v>
      </c>
      <c r="AA48" s="109">
        <v>24.604844768981351</v>
      </c>
      <c r="AB48" s="109">
        <v>24.878074865812884</v>
      </c>
      <c r="AC48" s="109">
        <v>25.090317389923847</v>
      </c>
      <c r="AD48" s="109">
        <v>25.370635575737843</v>
      </c>
      <c r="AE48" s="109">
        <v>26.245526747896729</v>
      </c>
      <c r="AF48" s="109">
        <v>28.457220824118934</v>
      </c>
      <c r="AG48" s="109">
        <v>29.686883879052647</v>
      </c>
      <c r="AH48" s="109">
        <v>31.978090264166422</v>
      </c>
      <c r="AI48" s="109">
        <v>32.998704899977191</v>
      </c>
      <c r="AJ48" s="109">
        <v>32.779460971308779</v>
      </c>
      <c r="AK48" s="109">
        <v>32.598341695166297</v>
      </c>
      <c r="AL48" s="109">
        <v>32.768050644434489</v>
      </c>
      <c r="AM48" s="109">
        <v>32.373874326639204</v>
      </c>
      <c r="AN48" s="109">
        <v>33.858030630673618</v>
      </c>
      <c r="AO48" s="109">
        <v>33.912788257421141</v>
      </c>
      <c r="AP48" s="137">
        <v>33.817113215924039</v>
      </c>
      <c r="AQ48" s="109">
        <v>34.465638980680843</v>
      </c>
      <c r="AR48" s="109">
        <v>34.328962000931035</v>
      </c>
      <c r="AS48" s="134">
        <v>35.073052294127287</v>
      </c>
      <c r="AT48" s="141">
        <v>2.1675292517614464E-2</v>
      </c>
    </row>
    <row r="49" spans="1:46" ht="14.25" customHeight="1">
      <c r="A49" s="98" t="s">
        <v>420</v>
      </c>
      <c r="B49" s="109">
        <v>27.090189969299999</v>
      </c>
      <c r="C49" s="109">
        <v>29.485212640199997</v>
      </c>
      <c r="D49" s="109">
        <v>30.236931441000003</v>
      </c>
      <c r="E49" s="109">
        <v>30.005091647099999</v>
      </c>
      <c r="F49" s="109">
        <v>29.572270847099997</v>
      </c>
      <c r="G49" s="109">
        <v>28.718269199999995</v>
      </c>
      <c r="H49" s="109">
        <v>28.812693599999999</v>
      </c>
      <c r="I49" s="109">
        <v>29.546754005700002</v>
      </c>
      <c r="J49" s="109">
        <v>31.016320994699999</v>
      </c>
      <c r="K49" s="109">
        <v>32.107425882299999</v>
      </c>
      <c r="L49" s="109">
        <v>32.377103450099995</v>
      </c>
      <c r="M49" s="109">
        <v>32.614554057299998</v>
      </c>
      <c r="N49" s="109">
        <v>33.617052110700001</v>
      </c>
      <c r="O49" s="109">
        <v>33.9225865875</v>
      </c>
      <c r="P49" s="109">
        <v>34.158506055300002</v>
      </c>
      <c r="Q49" s="109">
        <v>35.083316633400003</v>
      </c>
      <c r="R49" s="109">
        <v>36.697688021411999</v>
      </c>
      <c r="S49" s="109">
        <v>37.341227345844239</v>
      </c>
      <c r="T49" s="109">
        <v>36.75487116976236</v>
      </c>
      <c r="U49" s="109">
        <v>36.896224852517761</v>
      </c>
      <c r="V49" s="109">
        <v>37.300174072807323</v>
      </c>
      <c r="W49" s="109">
        <v>37.90863001084788</v>
      </c>
      <c r="X49" s="109">
        <v>39.281401654216914</v>
      </c>
      <c r="Y49" s="109">
        <v>39.125599370258044</v>
      </c>
      <c r="Z49" s="109">
        <v>39.859682226107395</v>
      </c>
      <c r="AA49" s="109">
        <v>39.983428563093</v>
      </c>
      <c r="AB49" s="109">
        <v>40.532311165180317</v>
      </c>
      <c r="AC49" s="109">
        <v>41.802382896126474</v>
      </c>
      <c r="AD49" s="109">
        <v>41.9962131904608</v>
      </c>
      <c r="AE49" s="109">
        <v>43.474558817738163</v>
      </c>
      <c r="AF49" s="109">
        <v>44.238319157316241</v>
      </c>
      <c r="AG49" s="109">
        <v>43.74779866111944</v>
      </c>
      <c r="AH49" s="109">
        <v>45.590398038541437</v>
      </c>
      <c r="AI49" s="109">
        <v>44.834666564212554</v>
      </c>
      <c r="AJ49" s="109">
        <v>44.858064432137397</v>
      </c>
      <c r="AK49" s="109">
        <v>46.113275798103238</v>
      </c>
      <c r="AL49" s="109">
        <v>45.759116394705245</v>
      </c>
      <c r="AM49" s="109">
        <v>45.271623161044801</v>
      </c>
      <c r="AN49" s="109">
        <v>45.02697500557548</v>
      </c>
      <c r="AO49" s="109">
        <v>44.502680519709479</v>
      </c>
      <c r="AP49" s="137">
        <v>44.439739978569477</v>
      </c>
      <c r="AQ49" s="109">
        <v>45.174623741733598</v>
      </c>
      <c r="AR49" s="109">
        <v>44.01958528926864</v>
      </c>
      <c r="AS49" s="134">
        <v>44.711364359077194</v>
      </c>
      <c r="AT49" s="141">
        <v>1.571525640831517E-2</v>
      </c>
    </row>
    <row r="50" spans="1:46" ht="14.25" customHeight="1">
      <c r="A50" s="103" t="s">
        <v>421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9">
        <v>2.7207141713459735</v>
      </c>
      <c r="S50" s="109">
        <v>2.7207141713459735</v>
      </c>
      <c r="T50" s="109">
        <v>2.7207141713459735</v>
      </c>
      <c r="U50" s="109">
        <v>2.7207141713459735</v>
      </c>
      <c r="V50" s="109">
        <v>2.7207141713459735</v>
      </c>
      <c r="W50" s="109">
        <v>2.7207141713459735</v>
      </c>
      <c r="X50" s="109">
        <v>2.7207141713459735</v>
      </c>
      <c r="Y50" s="109">
        <v>2.7207141713459735</v>
      </c>
      <c r="Z50" s="109">
        <v>2.7207141713459735</v>
      </c>
      <c r="AA50" s="109">
        <v>2.7207141713459735</v>
      </c>
      <c r="AB50" s="109">
        <v>2.7207141713459735</v>
      </c>
      <c r="AC50" s="109">
        <v>2.7207141713459735</v>
      </c>
      <c r="AD50" s="109">
        <v>2.7207141713459735</v>
      </c>
      <c r="AE50" s="109">
        <v>2.7207141713459735</v>
      </c>
      <c r="AF50" s="109">
        <v>2.6645136131946918</v>
      </c>
      <c r="AG50" s="109">
        <v>2.6312353610772132</v>
      </c>
      <c r="AH50" s="109">
        <v>3.1322728620122473</v>
      </c>
      <c r="AI50" s="109">
        <v>3.0421768481265561</v>
      </c>
      <c r="AJ50" s="109">
        <v>2.0888640444715669</v>
      </c>
      <c r="AK50" s="109">
        <v>2.3931937035963613</v>
      </c>
      <c r="AL50" s="109">
        <v>1.7960167492513308</v>
      </c>
      <c r="AM50" s="109">
        <v>1.0199600614248479</v>
      </c>
      <c r="AN50" s="109">
        <v>1.6793063833356037</v>
      </c>
      <c r="AO50" s="109">
        <v>1.2440950337984724</v>
      </c>
      <c r="AP50" s="137">
        <v>0.76225471524001798</v>
      </c>
      <c r="AQ50" s="109">
        <v>0.32894970812772517</v>
      </c>
      <c r="AR50" s="109">
        <v>0.44478042567189841</v>
      </c>
      <c r="AS50" s="134">
        <v>0.24262914870191732</v>
      </c>
      <c r="AT50" s="141">
        <v>-0.45449679280423683</v>
      </c>
    </row>
    <row r="51" spans="1:46" ht="14.25" customHeight="1" thickBot="1">
      <c r="A51" s="103" t="s">
        <v>423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09">
        <v>0</v>
      </c>
      <c r="AG51" s="109">
        <v>0</v>
      </c>
      <c r="AH51" s="109">
        <v>0</v>
      </c>
      <c r="AI51" s="109">
        <v>0</v>
      </c>
      <c r="AJ51" s="109">
        <v>0.60572819224263597</v>
      </c>
      <c r="AK51" s="109">
        <v>1.3407043464980315</v>
      </c>
      <c r="AL51" s="109">
        <v>1.6541361748020706</v>
      </c>
      <c r="AM51" s="109">
        <v>0.77518745427141722</v>
      </c>
      <c r="AN51" s="109">
        <v>0.11758252574584513</v>
      </c>
      <c r="AO51" s="109">
        <v>0</v>
      </c>
      <c r="AP51" s="138">
        <v>0</v>
      </c>
      <c r="AQ51" s="140">
        <v>0</v>
      </c>
      <c r="AR51" s="140">
        <v>0</v>
      </c>
      <c r="AS51" s="135">
        <v>0</v>
      </c>
      <c r="AT51" s="127"/>
    </row>
    <row r="52" spans="1:46" ht="14.25" customHeight="1">
      <c r="A52" s="100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95"/>
      <c r="AN52" s="95"/>
      <c r="AO52" s="95"/>
      <c r="AP52" s="95"/>
      <c r="AQ52" s="95"/>
      <c r="AR52" s="95"/>
      <c r="AS52" s="95"/>
      <c r="AT52" s="95"/>
    </row>
    <row r="53" spans="1:46" ht="14.25" customHeight="1">
      <c r="A53" s="97" t="s">
        <v>424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95"/>
      <c r="AR53" s="95"/>
      <c r="AS53" s="95"/>
      <c r="AT53" s="95"/>
    </row>
    <row r="54" spans="1:46" ht="14.25" customHeight="1">
      <c r="A54" s="104" t="s">
        <v>425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95"/>
      <c r="AR54" s="95"/>
      <c r="AS54" s="95"/>
      <c r="AT54" s="95"/>
    </row>
    <row r="55" spans="1:46" ht="14.25" customHeight="1">
      <c r="A55" s="104" t="s">
        <v>426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95"/>
      <c r="AR55" s="95"/>
      <c r="AS55" s="95"/>
      <c r="AT55" s="95"/>
    </row>
    <row r="56" spans="1:46" ht="14.25" customHeight="1">
      <c r="A56" s="131" t="s">
        <v>427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95"/>
      <c r="AR56" s="95"/>
      <c r="AS56" s="95"/>
      <c r="AT56" s="95"/>
    </row>
    <row r="57" spans="1:46" ht="14.25" customHeight="1">
      <c r="A57" s="104" t="s">
        <v>428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</row>
    <row r="58" spans="1:46" ht="14.25" customHeight="1">
      <c r="A58" s="104" t="s">
        <v>429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2023-12-18T20:49:40Z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