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One Touch/Thermistor/"/>
    </mc:Choice>
  </mc:AlternateContent>
  <xr:revisionPtr revIDLastSave="0" documentId="13_ncr:1_{9A5784E9-9D08-5840-B5D0-9F4A3707DA13}" xr6:coauthVersionLast="47" xr6:coauthVersionMax="47" xr10:uidLastSave="{00000000-0000-0000-0000-000000000000}"/>
  <bookViews>
    <workbookView xWindow="2380" yWindow="2180" windowWidth="27360" windowHeight="25380" xr2:uid="{893FB4D1-304F-CD43-B20E-DE5C527185E3}"/>
  </bookViews>
  <sheets>
    <sheet name="3rd Oder Eq" sheetId="5" r:id="rId1"/>
    <sheet name="4th Order Eq" sheetId="4" r:id="rId2"/>
    <sheet name="Notes" sheetId="3" r:id="rId3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5" l="1"/>
  <c r="D4" i="5"/>
  <c r="C5" i="5"/>
  <c r="D5" i="5"/>
  <c r="C6" i="5"/>
  <c r="D6" i="5"/>
  <c r="F4" i="5"/>
  <c r="F5" i="5"/>
  <c r="F6" i="5"/>
  <c r="G13" i="5" a="1"/>
  <c r="G14" i="5"/>
  <c r="G15" i="5"/>
  <c r="G13" i="5"/>
  <c r="J38" i="5"/>
  <c r="J39" i="5"/>
  <c r="C36" i="5"/>
  <c r="B36" i="5"/>
  <c r="C24" i="5"/>
  <c r="E36" i="5"/>
  <c r="C37" i="5"/>
  <c r="C38" i="5"/>
  <c r="J32" i="5"/>
  <c r="B30" i="5"/>
  <c r="E30" i="5"/>
  <c r="C30" i="5"/>
  <c r="C31" i="5"/>
  <c r="G18" i="5"/>
  <c r="G19" i="5"/>
  <c r="C4" i="4"/>
  <c r="D4" i="4"/>
  <c r="E4" i="4"/>
  <c r="G4" i="4"/>
  <c r="C5" i="4"/>
  <c r="D5" i="4"/>
  <c r="E5" i="4"/>
  <c r="G5" i="4"/>
  <c r="C6" i="4"/>
  <c r="D6" i="4"/>
  <c r="E6" i="4"/>
  <c r="G6" i="4"/>
  <c r="C7" i="4"/>
  <c r="D7" i="4"/>
  <c r="E7" i="4"/>
  <c r="G7" i="4"/>
  <c r="G13" i="4" a="1"/>
  <c r="G13" i="4"/>
  <c r="G14" i="4"/>
  <c r="G15" i="4"/>
  <c r="G16" i="4"/>
  <c r="G20" i="4"/>
  <c r="G21" i="4"/>
  <c r="C24" i="4"/>
  <c r="B30" i="4"/>
  <c r="C30" i="4"/>
  <c r="E30" i="4"/>
  <c r="C31" i="4"/>
  <c r="B36" i="4"/>
  <c r="C36" i="4"/>
  <c r="E36" i="4"/>
  <c r="G36" i="4"/>
  <c r="C37" i="4"/>
  <c r="G37" i="4"/>
  <c r="C38" i="4"/>
  <c r="M45" i="4"/>
</calcChain>
</file>

<file path=xl/sharedStrings.xml><?xml version="1.0" encoding="utf-8"?>
<sst xmlns="http://schemas.openxmlformats.org/spreadsheetml/2006/main" count="78" uniqueCount="38">
  <si>
    <t xml:space="preserve">Using MINVERSE and MMULT </t>
  </si>
  <si>
    <t>Matrix b</t>
  </si>
  <si>
    <t>Matrix x</t>
  </si>
  <si>
    <t>A</t>
  </si>
  <si>
    <t>B</t>
  </si>
  <si>
    <t>C</t>
  </si>
  <si>
    <t>Temp (ºC)</t>
  </si>
  <si>
    <t>Temp ºKelvin</t>
  </si>
  <si>
    <t>R (Ω) =</t>
  </si>
  <si>
    <t>T  Kelvin =</t>
  </si>
  <si>
    <t>T (ºC) =</t>
  </si>
  <si>
    <t>Matrix A</t>
  </si>
  <si>
    <t>A * x = b</t>
  </si>
  <si>
    <r>
      <t>x = A</t>
    </r>
    <r>
      <rPr>
        <b/>
        <vertAlign val="superscript"/>
        <sz val="16"/>
        <color theme="1"/>
        <rFont val="Helvetica"/>
        <family val="2"/>
      </rPr>
      <t xml:space="preserve">-1 </t>
    </r>
    <r>
      <rPr>
        <b/>
        <sz val="16"/>
        <color theme="1"/>
        <rFont val="Helvetica"/>
        <family val="2"/>
      </rPr>
      <t>*  b</t>
    </r>
  </si>
  <si>
    <t>Results from Stinhart Calulation:</t>
  </si>
  <si>
    <t>Beta Parameter Equations</t>
  </si>
  <si>
    <t>D</t>
  </si>
  <si>
    <t>T ºC</t>
  </si>
  <si>
    <t>R Ω</t>
  </si>
  <si>
    <t>Beta β=</t>
  </si>
  <si>
    <t>R1, R2 (Ω)</t>
  </si>
  <si>
    <t>T1,T2 (ºC)</t>
  </si>
  <si>
    <t>Temperature</t>
  </si>
  <si>
    <t>Resistance</t>
  </si>
  <si>
    <t>BaseR0 (Ω)</t>
  </si>
  <si>
    <t>BaseT0  (ºC)</t>
  </si>
  <si>
    <t>Beta b</t>
  </si>
  <si>
    <t>SOLVE FOR TEMP ENTER RΩ =</t>
  </si>
  <si>
    <t>Rref Ω</t>
  </si>
  <si>
    <t>VISHAY NTCLE100E3103</t>
  </si>
  <si>
    <t>See NTCLE100E3 Datasheet</t>
  </si>
  <si>
    <t>MMULT(MINVERSE(B4:E7),G4:G7)</t>
  </si>
  <si>
    <t>Rt=</t>
  </si>
  <si>
    <t>T_ºC=</t>
  </si>
  <si>
    <t>Rt_Ω =</t>
  </si>
  <si>
    <t>X =</t>
  </si>
  <si>
    <t>Y =</t>
  </si>
  <si>
    <t>MMULT(MINVERSE(B4:D6),F4:F6)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</si>
</sst>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"/>
    <numFmt numFmtId="165" formatCode="0.0"/>
    <numFmt numFmtId="166" formatCode="0.000000000E+00"/>
    <numFmt numFmtId="167" formatCode="0.0000000E+00"/>
    <numFmt numFmtId="168" formatCode="#,##0.0"/>
  </numFmts>
  <fonts count="27">
    <font>
      <sz val="12"/>
      <color theme="1"/>
      <name val="Calibri"/>
      <family val="2"/>
      <scheme val="minor"/>
    </font>
    <font>
      <b/>
      <sz val="12"/>
      <color theme="1"/>
      <name val="TimesNewRomanPS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theme="4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Helvetica"/>
      <family val="2"/>
    </font>
    <font>
      <b/>
      <sz val="16"/>
      <color theme="1"/>
      <name val="Helvetica"/>
      <family val="2"/>
    </font>
    <font>
      <b/>
      <vertAlign val="superscript"/>
      <sz val="16"/>
      <color theme="1"/>
      <name val="Helvetica"/>
      <family val="2"/>
    </font>
    <font>
      <b/>
      <i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61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i/>
      <sz val="12"/>
      <color rgb="FF00610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1"/>
      <color theme="1"/>
      <name val="Cambria Math"/>
      <family val="1"/>
    </font>
    <font>
      <b/>
      <i/>
      <sz val="16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rgb="FFFFFFCC"/>
      </patternFill>
    </fill>
    <fill>
      <patternFill patternType="solid">
        <fgColor rgb="FFA5A5A5"/>
      </patternFill>
    </fill>
    <fill>
      <patternFill patternType="solid">
        <fgColor rgb="FFF2F2F2"/>
      </patternFill>
    </fill>
    <fill>
      <patternFill patternType="solid">
        <fgColor theme="4" tint="0.59999389629810485"/>
        <bgColor indexed="65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thin">
        <color rgb="FFB2B2B2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">
    <xf numFmtId="0" fontId="0" fillId="0" borderId="0"/>
    <xf numFmtId="0" fontId="13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21" applyNumberFormat="0" applyFont="0" applyAlignment="0" applyProtection="0"/>
    <xf numFmtId="0" fontId="15" fillId="0" borderId="22" applyNumberFormat="0" applyFill="0" applyAlignment="0" applyProtection="0"/>
    <xf numFmtId="0" fontId="17" fillId="6" borderId="26" applyNumberFormat="0" applyAlignment="0" applyProtection="0"/>
    <xf numFmtId="0" fontId="22" fillId="7" borderId="35" applyNumberFormat="0" applyAlignment="0" applyProtection="0"/>
    <xf numFmtId="0" fontId="12" fillId="8" borderId="0" applyNumberFormat="0" applyBorder="0" applyAlignment="0" applyProtection="0"/>
  </cellStyleXfs>
  <cellXfs count="136">
    <xf numFmtId="0" fontId="0" fillId="0" borderId="0" xfId="0"/>
    <xf numFmtId="0" fontId="3" fillId="0" borderId="0" xfId="0" applyFont="1"/>
    <xf numFmtId="0" fontId="8" fillId="0" borderId="0" xfId="0" applyFont="1" applyAlignment="1">
      <alignment horizontal="center"/>
    </xf>
    <xf numFmtId="0" fontId="14" fillId="0" borderId="0" xfId="0" applyFont="1"/>
    <xf numFmtId="0" fontId="16" fillId="2" borderId="1" xfId="1" applyFont="1" applyBorder="1" applyProtection="1">
      <protection locked="0"/>
    </xf>
    <xf numFmtId="0" fontId="16" fillId="2" borderId="8" xfId="1" applyFont="1" applyBorder="1" applyProtection="1">
      <protection locked="0"/>
    </xf>
    <xf numFmtId="2" fontId="15" fillId="3" borderId="9" xfId="2" applyNumberFormat="1" applyFont="1" applyBorder="1" applyProtection="1"/>
    <xf numFmtId="1" fontId="16" fillId="2" borderId="11" xfId="1" applyNumberFormat="1" applyFont="1" applyBorder="1" applyProtection="1">
      <protection locked="0"/>
    </xf>
    <xf numFmtId="0" fontId="16" fillId="2" borderId="23" xfId="1" applyFont="1" applyBorder="1" applyProtection="1">
      <protection locked="0"/>
    </xf>
    <xf numFmtId="0" fontId="16" fillId="2" borderId="5" xfId="1" applyFont="1" applyBorder="1" applyProtection="1">
      <protection locked="0"/>
    </xf>
    <xf numFmtId="0" fontId="15" fillId="3" borderId="8" xfId="2" applyFont="1" applyBorder="1" applyProtection="1"/>
    <xf numFmtId="0" fontId="15" fillId="3" borderId="20" xfId="2" applyFont="1" applyBorder="1" applyProtection="1"/>
    <xf numFmtId="0" fontId="15" fillId="3" borderId="1" xfId="2" applyFont="1" applyBorder="1" applyProtection="1"/>
    <xf numFmtId="167" fontId="0" fillId="0" borderId="0" xfId="0" applyNumberFormat="1"/>
    <xf numFmtId="0" fontId="7" fillId="0" borderId="0" xfId="0" applyFont="1"/>
    <xf numFmtId="0" fontId="11" fillId="0" borderId="0" xfId="0" applyFont="1"/>
    <xf numFmtId="0" fontId="0" fillId="0" borderId="19" xfId="0" applyBorder="1"/>
    <xf numFmtId="0" fontId="0" fillId="0" borderId="18" xfId="0" applyBorder="1"/>
    <xf numFmtId="0" fontId="0" fillId="0" borderId="17" xfId="0" applyBorder="1"/>
    <xf numFmtId="0" fontId="0" fillId="0" borderId="16" xfId="0" applyBorder="1"/>
    <xf numFmtId="0" fontId="0" fillId="0" borderId="15" xfId="0" applyBorder="1"/>
    <xf numFmtId="0" fontId="17" fillId="6" borderId="26" xfId="6" applyProtection="1"/>
    <xf numFmtId="2" fontId="15" fillId="5" borderId="21" xfId="4" applyNumberFormat="1" applyFont="1" applyProtection="1"/>
    <xf numFmtId="0" fontId="15" fillId="5" borderId="25" xfId="4" applyFont="1" applyBorder="1" applyAlignment="1" applyProtection="1">
      <alignment horizontal="right"/>
    </xf>
    <xf numFmtId="0" fontId="0" fillId="0" borderId="0" xfId="0" applyAlignment="1">
      <alignment horizontal="center"/>
    </xf>
    <xf numFmtId="0" fontId="15" fillId="5" borderId="1" xfId="4" applyFont="1" applyBorder="1" applyProtection="1"/>
    <xf numFmtId="0" fontId="12" fillId="4" borderId="9" xfId="3" applyBorder="1" applyAlignment="1" applyProtection="1">
      <alignment horizontal="center"/>
    </xf>
    <xf numFmtId="0" fontId="12" fillId="4" borderId="1" xfId="3" applyBorder="1" applyAlignment="1" applyProtection="1">
      <alignment horizontal="center"/>
    </xf>
    <xf numFmtId="0" fontId="12" fillId="4" borderId="8" xfId="3" applyBorder="1" applyAlignment="1" applyProtection="1">
      <alignment horizontal="center"/>
    </xf>
    <xf numFmtId="0" fontId="0" fillId="0" borderId="1" xfId="0" applyBorder="1"/>
    <xf numFmtId="0" fontId="11" fillId="0" borderId="1" xfId="0" applyFont="1" applyBorder="1"/>
    <xf numFmtId="165" fontId="15" fillId="3" borderId="1" xfId="2" applyNumberFormat="1" applyFont="1" applyBorder="1" applyProtection="1"/>
    <xf numFmtId="0" fontId="15" fillId="3" borderId="8" xfId="2" applyFont="1" applyBorder="1" applyAlignment="1" applyProtection="1">
      <alignment horizontal="right"/>
    </xf>
    <xf numFmtId="0" fontId="15" fillId="4" borderId="1" xfId="3" applyFont="1" applyBorder="1" applyProtection="1"/>
    <xf numFmtId="0" fontId="20" fillId="0" borderId="0" xfId="0" applyFont="1"/>
    <xf numFmtId="0" fontId="6" fillId="0" borderId="16" xfId="0" applyFont="1" applyBorder="1"/>
    <xf numFmtId="0" fontId="12" fillId="5" borderId="25" xfId="4" applyBorder="1" applyAlignment="1" applyProtection="1">
      <alignment horizontal="right"/>
    </xf>
    <xf numFmtId="0" fontId="15" fillId="5" borderId="7" xfId="4" applyFont="1" applyBorder="1" applyProtection="1"/>
    <xf numFmtId="0" fontId="15" fillId="5" borderId="6" xfId="4" applyFont="1" applyBorder="1" applyProtection="1"/>
    <xf numFmtId="164" fontId="15" fillId="5" borderId="5" xfId="4" applyNumberFormat="1" applyFont="1" applyBorder="1" applyProtection="1"/>
    <xf numFmtId="0" fontId="15" fillId="4" borderId="8" xfId="3" applyFont="1" applyBorder="1" applyProtection="1"/>
    <xf numFmtId="0" fontId="15" fillId="5" borderId="9" xfId="4" applyFont="1" applyBorder="1" applyProtection="1"/>
    <xf numFmtId="166" fontId="15" fillId="5" borderId="8" xfId="4" applyNumberFormat="1" applyFont="1" applyBorder="1" applyProtection="1"/>
    <xf numFmtId="0" fontId="0" fillId="0" borderId="14" xfId="0" applyBorder="1"/>
    <xf numFmtId="0" fontId="0" fillId="0" borderId="13" xfId="0" applyBorder="1"/>
    <xf numFmtId="0" fontId="5" fillId="0" borderId="13" xfId="0" applyFont="1" applyBorder="1"/>
    <xf numFmtId="0" fontId="0" fillId="0" borderId="12" xfId="0" applyBorder="1"/>
    <xf numFmtId="0" fontId="15" fillId="5" borderId="4" xfId="4" applyFont="1" applyBorder="1" applyProtection="1"/>
    <xf numFmtId="0" fontId="15" fillId="5" borderId="3" xfId="4" applyFont="1" applyBorder="1" applyProtection="1"/>
    <xf numFmtId="0" fontId="15" fillId="5" borderId="2" xfId="4" applyFont="1" applyBorder="1" applyProtection="1"/>
    <xf numFmtId="0" fontId="5" fillId="0" borderId="0" xfId="0" applyFont="1"/>
    <xf numFmtId="0" fontId="19" fillId="4" borderId="30" xfId="3" applyFont="1" applyBorder="1" applyAlignment="1" applyProtection="1">
      <alignment horizontal="right"/>
    </xf>
    <xf numFmtId="0" fontId="21" fillId="0" borderId="0" xfId="0" applyFont="1"/>
    <xf numFmtId="166" fontId="2" fillId="0" borderId="30" xfId="0" applyNumberFormat="1" applyFont="1" applyBorder="1"/>
    <xf numFmtId="164" fontId="4" fillId="0" borderId="0" xfId="0" applyNumberFormat="1" applyFont="1"/>
    <xf numFmtId="0" fontId="16" fillId="2" borderId="7" xfId="1" applyNumberFormat="1" applyFont="1" applyBorder="1" applyProtection="1">
      <protection locked="0"/>
    </xf>
    <xf numFmtId="0" fontId="16" fillId="2" borderId="31" xfId="1" applyNumberFormat="1" applyFont="1" applyBorder="1" applyProtection="1">
      <protection locked="0"/>
    </xf>
    <xf numFmtId="0" fontId="16" fillId="2" borderId="32" xfId="1" applyFont="1" applyBorder="1" applyProtection="1">
      <protection locked="0"/>
    </xf>
    <xf numFmtId="0" fontId="15" fillId="0" borderId="0" xfId="0" applyFont="1"/>
    <xf numFmtId="0" fontId="16" fillId="2" borderId="9" xfId="1" applyNumberFormat="1" applyFont="1" applyBorder="1" applyProtection="1">
      <protection locked="0"/>
    </xf>
    <xf numFmtId="0" fontId="1" fillId="0" borderId="0" xfId="0" applyFont="1"/>
    <xf numFmtId="0" fontId="16" fillId="2" borderId="24" xfId="1" applyNumberFormat="1" applyFont="1" applyBorder="1" applyProtection="1">
      <protection locked="0"/>
    </xf>
    <xf numFmtId="0" fontId="9" fillId="0" borderId="0" xfId="0" applyFont="1" applyAlignment="1">
      <alignment horizontal="center"/>
    </xf>
    <xf numFmtId="0" fontId="15" fillId="4" borderId="4" xfId="5" applyFill="1" applyBorder="1" applyAlignment="1" applyProtection="1">
      <alignment horizontal="center"/>
    </xf>
    <xf numFmtId="0" fontId="15" fillId="4" borderId="2" xfId="5" applyFill="1" applyBorder="1" applyAlignment="1" applyProtection="1">
      <alignment horizontal="center"/>
    </xf>
    <xf numFmtId="164" fontId="2" fillId="0" borderId="11" xfId="0" applyNumberFormat="1" applyFont="1" applyBorder="1"/>
    <xf numFmtId="164" fontId="2" fillId="0" borderId="33" xfId="0" applyNumberFormat="1" applyFont="1" applyBorder="1"/>
    <xf numFmtId="164" fontId="2" fillId="0" borderId="10" xfId="0" applyNumberFormat="1" applyFont="1" applyBorder="1"/>
    <xf numFmtId="167" fontId="11" fillId="0" borderId="8" xfId="0" applyNumberFormat="1" applyFont="1" applyBorder="1"/>
    <xf numFmtId="0" fontId="0" fillId="0" borderId="9" xfId="0" applyBorder="1"/>
    <xf numFmtId="0" fontId="15" fillId="4" borderId="9" xfId="3" applyFont="1" applyBorder="1" applyProtection="1"/>
    <xf numFmtId="0" fontId="18" fillId="2" borderId="9" xfId="1" applyFont="1" applyBorder="1" applyProtection="1">
      <protection locked="0"/>
    </xf>
    <xf numFmtId="0" fontId="0" fillId="0" borderId="8" xfId="0" applyBorder="1"/>
    <xf numFmtId="0" fontId="19" fillId="4" borderId="8" xfId="3" applyFont="1" applyBorder="1" applyAlignment="1" applyProtection="1">
      <alignment horizontal="right"/>
    </xf>
    <xf numFmtId="0" fontId="15" fillId="5" borderId="8" xfId="4" applyFont="1" applyBorder="1" applyProtection="1"/>
    <xf numFmtId="164" fontId="15" fillId="5" borderId="8" xfId="4" applyNumberFormat="1" applyFont="1" applyBorder="1" applyProtection="1"/>
    <xf numFmtId="164" fontId="2" fillId="0" borderId="2" xfId="0" applyNumberFormat="1" applyFont="1" applyBorder="1"/>
    <xf numFmtId="164" fontId="2" fillId="0" borderId="3" xfId="0" applyNumberFormat="1" applyFont="1" applyBorder="1"/>
    <xf numFmtId="164" fontId="2" fillId="0" borderId="4" xfId="0" applyNumberFormat="1" applyFont="1" applyBorder="1"/>
    <xf numFmtId="164" fontId="23" fillId="0" borderId="0" xfId="0" applyNumberFormat="1" applyFont="1"/>
    <xf numFmtId="164" fontId="2" fillId="0" borderId="36" xfId="0" applyNumberFormat="1" applyFont="1" applyBorder="1"/>
    <xf numFmtId="164" fontId="2" fillId="0" borderId="8" xfId="0" applyNumberFormat="1" applyFont="1" applyBorder="1"/>
    <xf numFmtId="164" fontId="2" fillId="0" borderId="1" xfId="0" applyNumberFormat="1" applyFont="1" applyBorder="1"/>
    <xf numFmtId="164" fontId="2" fillId="0" borderId="9" xfId="0" applyNumberFormat="1" applyFont="1" applyBorder="1"/>
    <xf numFmtId="164" fontId="2" fillId="0" borderId="37" xfId="0" applyNumberFormat="1" applyFont="1" applyBorder="1"/>
    <xf numFmtId="164" fontId="2" fillId="0" borderId="5" xfId="0" applyNumberFormat="1" applyFont="1" applyBorder="1"/>
    <xf numFmtId="164" fontId="2" fillId="0" borderId="6" xfId="0" applyNumberFormat="1" applyFont="1" applyBorder="1"/>
    <xf numFmtId="164" fontId="2" fillId="0" borderId="7" xfId="0" applyNumberFormat="1" applyFont="1" applyBorder="1"/>
    <xf numFmtId="164" fontId="2" fillId="0" borderId="38" xfId="0" applyNumberFormat="1" applyFont="1" applyBorder="1"/>
    <xf numFmtId="0" fontId="24" fillId="0" borderId="0" xfId="0" applyFont="1"/>
    <xf numFmtId="0" fontId="15" fillId="4" borderId="2" xfId="5" applyFill="1" applyBorder="1" applyAlignment="1">
      <alignment horizontal="center"/>
    </xf>
    <xf numFmtId="0" fontId="15" fillId="4" borderId="4" xfId="5" applyFill="1" applyBorder="1" applyAlignment="1">
      <alignment horizontal="center"/>
    </xf>
    <xf numFmtId="0" fontId="16" fillId="2" borderId="24" xfId="1" applyFont="1" applyBorder="1" applyProtection="1">
      <protection locked="0"/>
    </xf>
    <xf numFmtId="0" fontId="4" fillId="0" borderId="0" xfId="0" applyFont="1"/>
    <xf numFmtId="0" fontId="16" fillId="2" borderId="9" xfId="1" applyFont="1" applyBorder="1" applyProtection="1">
      <protection locked="0"/>
    </xf>
    <xf numFmtId="0" fontId="16" fillId="2" borderId="7" xfId="1" applyFont="1" applyBorder="1" applyProtection="1">
      <protection locked="0"/>
    </xf>
    <xf numFmtId="166" fontId="2" fillId="7" borderId="39" xfId="7" applyNumberFormat="1" applyFont="1" applyBorder="1" applyProtection="1"/>
    <xf numFmtId="166" fontId="2" fillId="7" borderId="40" xfId="7" applyNumberFormat="1" applyFont="1" applyBorder="1" applyProtection="1"/>
    <xf numFmtId="166" fontId="2" fillId="7" borderId="41" xfId="7" applyNumberFormat="1" applyFont="1" applyBorder="1" applyProtection="1"/>
    <xf numFmtId="164" fontId="0" fillId="0" borderId="0" xfId="0" applyNumberFormat="1"/>
    <xf numFmtId="0" fontId="7" fillId="4" borderId="10" xfId="3" applyFont="1" applyBorder="1" applyAlignment="1">
      <alignment horizontal="right"/>
    </xf>
    <xf numFmtId="165" fontId="16" fillId="2" borderId="11" xfId="1" applyNumberFormat="1" applyFont="1" applyBorder="1" applyProtection="1">
      <protection locked="0"/>
    </xf>
    <xf numFmtId="0" fontId="15" fillId="5" borderId="2" xfId="4" applyFont="1" applyBorder="1"/>
    <xf numFmtId="0" fontId="15" fillId="5" borderId="3" xfId="4" applyFont="1" applyBorder="1"/>
    <xf numFmtId="0" fontId="15" fillId="5" borderId="4" xfId="4" applyFont="1" applyBorder="1"/>
    <xf numFmtId="166" fontId="15" fillId="5" borderId="8" xfId="4" applyNumberFormat="1" applyFont="1" applyBorder="1"/>
    <xf numFmtId="0" fontId="15" fillId="5" borderId="1" xfId="4" applyFont="1" applyBorder="1"/>
    <xf numFmtId="0" fontId="15" fillId="5" borderId="9" xfId="4" applyFont="1" applyBorder="1"/>
    <xf numFmtId="164" fontId="15" fillId="5" borderId="5" xfId="4" applyNumberFormat="1" applyFont="1" applyBorder="1"/>
    <xf numFmtId="0" fontId="15" fillId="5" borderId="6" xfId="4" applyFont="1" applyBorder="1"/>
    <xf numFmtId="0" fontId="15" fillId="5" borderId="7" xfId="4" applyFont="1" applyBorder="1"/>
    <xf numFmtId="0" fontId="15" fillId="4" borderId="8" xfId="3" applyFont="1" applyBorder="1"/>
    <xf numFmtId="0" fontId="15" fillId="4" borderId="1" xfId="3" applyFont="1" applyBorder="1"/>
    <xf numFmtId="0" fontId="25" fillId="0" borderId="0" xfId="0" applyFont="1"/>
    <xf numFmtId="0" fontId="12" fillId="5" borderId="25" xfId="4" applyBorder="1" applyAlignment="1">
      <alignment horizontal="right"/>
    </xf>
    <xf numFmtId="2" fontId="15" fillId="5" borderId="21" xfId="4" applyNumberFormat="1" applyFont="1"/>
    <xf numFmtId="0" fontId="12" fillId="4" borderId="8" xfId="3" applyBorder="1" applyAlignment="1">
      <alignment horizontal="center"/>
    </xf>
    <xf numFmtId="0" fontId="12" fillId="4" borderId="1" xfId="3" applyBorder="1" applyAlignment="1">
      <alignment horizontal="center"/>
    </xf>
    <xf numFmtId="0" fontId="12" fillId="4" borderId="9" xfId="3" applyBorder="1" applyAlignment="1">
      <alignment horizontal="center"/>
    </xf>
    <xf numFmtId="0" fontId="7" fillId="8" borderId="10" xfId="8" applyFont="1" applyBorder="1"/>
    <xf numFmtId="0" fontId="16" fillId="2" borderId="11" xfId="1" applyFont="1" applyBorder="1" applyProtection="1">
      <protection locked="0"/>
    </xf>
    <xf numFmtId="0" fontId="17" fillId="6" borderId="26" xfId="6"/>
    <xf numFmtId="0" fontId="15" fillId="3" borderId="8" xfId="2" applyFont="1" applyBorder="1" applyAlignment="1">
      <alignment horizontal="right"/>
    </xf>
    <xf numFmtId="165" fontId="15" fillId="3" borderId="1" xfId="2" applyNumberFormat="1" applyFont="1" applyBorder="1"/>
    <xf numFmtId="0" fontId="7" fillId="5" borderId="42" xfId="4" applyFont="1" applyBorder="1" applyAlignment="1">
      <alignment horizontal="right"/>
    </xf>
    <xf numFmtId="168" fontId="15" fillId="5" borderId="43" xfId="4" applyNumberFormat="1" applyFont="1" applyBorder="1"/>
    <xf numFmtId="0" fontId="15" fillId="5" borderId="25" xfId="4" applyFont="1" applyBorder="1" applyAlignment="1">
      <alignment horizontal="right"/>
    </xf>
    <xf numFmtId="0" fontId="7" fillId="8" borderId="1" xfId="8" applyFont="1" applyBorder="1" applyAlignment="1">
      <alignment horizontal="right"/>
    </xf>
    <xf numFmtId="166" fontId="15" fillId="8" borderId="9" xfId="8" applyNumberFormat="1" applyFont="1" applyBorder="1"/>
    <xf numFmtId="0" fontId="15" fillId="8" borderId="9" xfId="8" applyFont="1" applyBorder="1"/>
    <xf numFmtId="0" fontId="18" fillId="2" borderId="29" xfId="1" applyNumberFormat="1" applyFont="1" applyBorder="1" applyAlignment="1" applyProtection="1">
      <alignment horizontal="center"/>
      <protection locked="0"/>
    </xf>
    <xf numFmtId="0" fontId="18" fillId="2" borderId="28" xfId="1" applyNumberFormat="1" applyFont="1" applyBorder="1" applyAlignment="1" applyProtection="1">
      <alignment horizontal="center"/>
      <protection locked="0"/>
    </xf>
    <xf numFmtId="0" fontId="18" fillId="2" borderId="27" xfId="1" applyNumberFormat="1" applyFont="1" applyBorder="1" applyAlignment="1" applyProtection="1">
      <alignment horizontal="center"/>
      <protection locked="0"/>
    </xf>
    <xf numFmtId="0" fontId="18" fillId="2" borderId="34" xfId="1" applyNumberFormat="1" applyFont="1" applyBorder="1" applyAlignment="1" applyProtection="1">
      <alignment horizontal="center"/>
      <protection locked="0"/>
    </xf>
    <xf numFmtId="166" fontId="3" fillId="2" borderId="9" xfId="1" applyNumberFormat="1" applyFont="1" applyBorder="1" applyProtection="1">
      <protection locked="0"/>
    </xf>
    <xf numFmtId="0" fontId="26" fillId="0" borderId="12" xfId="0" applyFont="1" applyBorder="1"/>
  </cellXfs>
  <cellStyles count="9">
    <cellStyle name="40% - Accent1" xfId="8" builtinId="31"/>
    <cellStyle name="40% - Accent5" xfId="2" builtinId="47"/>
    <cellStyle name="60% - Accent5" xfId="3" builtinId="48"/>
    <cellStyle name="Calculation" xfId="7" builtinId="22"/>
    <cellStyle name="Check Cell" xfId="6" builtinId="23"/>
    <cellStyle name="Good" xfId="1" builtinId="26"/>
    <cellStyle name="Normal" xfId="0" builtinId="0"/>
    <cellStyle name="Note" xfId="4" builtinId="10"/>
    <cellStyle name="Total" xfId="5" builtin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5" Type="http://schemas.openxmlformats.org/officeDocument/2006/relationships/image" Target="../media/image5.tiff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tiff"/><Relationship Id="rId2" Type="http://schemas.openxmlformats.org/officeDocument/2006/relationships/image" Target="../media/image4.jpg"/><Relationship Id="rId1" Type="http://schemas.openxmlformats.org/officeDocument/2006/relationships/image" Target="../media/image3.tiff"/><Relationship Id="rId5" Type="http://schemas.openxmlformats.org/officeDocument/2006/relationships/image" Target="../media/image8.tiff"/><Relationship Id="rId4" Type="http://schemas.openxmlformats.org/officeDocument/2006/relationships/image" Target="../media/image7.tif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tiff"/><Relationship Id="rId1" Type="http://schemas.openxmlformats.org/officeDocument/2006/relationships/image" Target="../media/image9.tiff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920750</xdr:colOff>
      <xdr:row>20</xdr:row>
      <xdr:rowOff>1</xdr:rowOff>
    </xdr:from>
    <xdr:ext cx="3211561" cy="1141962"/>
    <xdr:pic>
      <xdr:nvPicPr>
        <xdr:cNvPr id="2" name="Picture 1">
          <a:extLst>
            <a:ext uri="{FF2B5EF4-FFF2-40B4-BE49-F238E27FC236}">
              <a16:creationId xmlns:a16="http://schemas.microsoft.com/office/drawing/2014/main" id="{A50DBEFB-6133-744B-8DA9-C2C7629EE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0650" y="4737101"/>
          <a:ext cx="3211561" cy="1141962"/>
        </a:xfrm>
        <a:prstGeom prst="rect">
          <a:avLst/>
        </a:prstGeom>
      </xdr:spPr>
    </xdr:pic>
    <xdr:clientData/>
  </xdr:oneCellAnchor>
  <xdr:oneCellAnchor>
    <xdr:from>
      <xdr:col>1</xdr:col>
      <xdr:colOff>151190</xdr:colOff>
      <xdr:row>12</xdr:row>
      <xdr:rowOff>60477</xdr:rowOff>
    </xdr:from>
    <xdr:ext cx="3461822" cy="1451086"/>
    <xdr:pic>
      <xdr:nvPicPr>
        <xdr:cNvPr id="3" name="Picture 2">
          <a:extLst>
            <a:ext uri="{FF2B5EF4-FFF2-40B4-BE49-F238E27FC236}">
              <a16:creationId xmlns:a16="http://schemas.microsoft.com/office/drawing/2014/main" id="{44A99B6E-13B6-D541-B49B-B767EB68B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9790" y="2994177"/>
          <a:ext cx="3461822" cy="1451086"/>
        </a:xfrm>
        <a:prstGeom prst="rect">
          <a:avLst/>
        </a:prstGeom>
      </xdr:spPr>
    </xdr:pic>
    <xdr:clientData/>
  </xdr:oneCellAnchor>
  <xdr:oneCellAnchor>
    <xdr:from>
      <xdr:col>3</xdr:col>
      <xdr:colOff>63501</xdr:colOff>
      <xdr:row>19</xdr:row>
      <xdr:rowOff>145142</xdr:rowOff>
    </xdr:from>
    <xdr:ext cx="1915526" cy="1628763"/>
    <xdr:pic>
      <xdr:nvPicPr>
        <xdr:cNvPr id="4" name="Picture 3">
          <a:extLst>
            <a:ext uri="{FF2B5EF4-FFF2-40B4-BE49-F238E27FC236}">
              <a16:creationId xmlns:a16="http://schemas.microsoft.com/office/drawing/2014/main" id="{404DF8D1-E91D-2C4D-9F9C-C37E86269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1" y="4679042"/>
          <a:ext cx="1915526" cy="1628763"/>
        </a:xfrm>
        <a:prstGeom prst="rect">
          <a:avLst/>
        </a:prstGeom>
      </xdr:spPr>
    </xdr:pic>
    <xdr:clientData/>
  </xdr:oneCellAnchor>
  <xdr:oneCellAnchor>
    <xdr:from>
      <xdr:col>3</xdr:col>
      <xdr:colOff>109300</xdr:colOff>
      <xdr:row>31</xdr:row>
      <xdr:rowOff>20356</xdr:rowOff>
    </xdr:from>
    <xdr:ext cx="2377378" cy="6814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31E55157-2499-0A4A-91E1-C0D5EFF91D37}"/>
                </a:ext>
              </a:extLst>
            </xdr:cNvPr>
            <xdr:cNvSpPr txBox="1"/>
          </xdr:nvSpPr>
          <xdr:spPr>
            <a:xfrm>
              <a:off x="2331800" y="7081556"/>
              <a:ext cx="2377378" cy="6814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en-US" sz="1600" b="0" i="1">
                      <a:latin typeface="Cambria Math" panose="02040503050406030204" pitchFamily="18" charset="0"/>
                    </a:rPr>
                    <m:t>𝑇</m:t>
                  </m:r>
                  <m:r>
                    <a:rPr lang="en-US" sz="1600" b="0" i="1">
                      <a:latin typeface="Cambria Math" panose="02040503050406030204" pitchFamily="18" charset="0"/>
                    </a:rPr>
                    <m:t>=(</m:t>
                  </m:r>
                  <m:f>
                    <m:fPr>
                      <m:ctrlPr>
                        <a:rPr lang="en-US" sz="16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US" sz="1600" b="0" i="1">
                          <a:latin typeface="Cambria Math" panose="02040503050406030204" pitchFamily="18" charset="0"/>
                        </a:rPr>
                        <m:t>1</m:t>
                      </m:r>
                    </m:num>
                    <m:den>
                      <m:sSub>
                        <m:sSubPr>
                          <m:ctrlPr>
                            <a:rPr lang="en-US" sz="16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n-US" sz="1600" b="0" i="1">
                              <a:latin typeface="Cambria Math" panose="02040503050406030204" pitchFamily="18" charset="0"/>
                            </a:rPr>
                            <m:t>𝑇</m:t>
                          </m:r>
                        </m:e>
                        <m:sub>
                          <m:r>
                            <a:rPr lang="en-US" sz="1600" b="0" i="1">
                              <a:latin typeface="Cambria Math" panose="02040503050406030204" pitchFamily="18" charset="0"/>
                            </a:rPr>
                            <m:t>0</m:t>
                          </m:r>
                        </m:sub>
                      </m:sSub>
                    </m:den>
                  </m:f>
                </m:oMath>
              </a14:m>
              <a:r>
                <a:rPr lang="en-US" sz="1600"/>
                <a:t> + </a:t>
              </a:r>
              <a14:m>
                <m:oMath xmlns:m="http://schemas.openxmlformats.org/officeDocument/2006/math">
                  <m:f>
                    <m:fPr>
                      <m:ctrlPr>
                        <a:rPr lang="en-US" sz="16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US" sz="1600" b="0" i="1">
                          <a:latin typeface="Cambria Math" panose="02040503050406030204" pitchFamily="18" charset="0"/>
                        </a:rPr>
                        <m:t>𝐼𝑛</m:t>
                      </m:r>
                      <m:r>
                        <a:rPr lang="en-US" sz="1600" b="0" i="1">
                          <a:latin typeface="Cambria Math" panose="02040503050406030204" pitchFamily="18" charset="0"/>
                        </a:rPr>
                        <m:t>(</m:t>
                      </m:r>
                      <m:f>
                        <m:fPr>
                          <m:ctrlPr>
                            <a:rPr lang="en-US" sz="1600" b="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n-US" sz="1600" b="0" i="1">
                              <a:latin typeface="Cambria Math" panose="02040503050406030204" pitchFamily="18" charset="0"/>
                            </a:rPr>
                            <m:t>𝑅</m:t>
                          </m:r>
                        </m:num>
                        <m:den>
                          <m:sSub>
                            <m:sSubPr>
                              <m:ctrlPr>
                                <a:rPr lang="en-US" sz="1600" b="0" i="1">
                                  <a:latin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a:rPr lang="en-US" sz="1600" b="0" i="1">
                                  <a:latin typeface="Cambria Math" panose="02040503050406030204" pitchFamily="18" charset="0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en-US" sz="16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sub>
                          </m:sSub>
                        </m:den>
                      </m:f>
                      <m:r>
                        <a:rPr lang="en-US" sz="1600" b="0" i="1">
                          <a:latin typeface="Cambria Math" panose="02040503050406030204" pitchFamily="18" charset="0"/>
                        </a:rPr>
                        <m:t>)</m:t>
                      </m:r>
                    </m:num>
                    <m:den>
                      <m:r>
                        <a:rPr lang="en-US" sz="16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𝛽</m:t>
                      </m:r>
                    </m:den>
                  </m:f>
                </m:oMath>
              </a14:m>
              <a:r>
                <a:rPr lang="en-US" sz="1600"/>
                <a:t>  )^-1</a:t>
              </a:r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31E55157-2499-0A4A-91E1-C0D5EFF91D37}"/>
                </a:ext>
              </a:extLst>
            </xdr:cNvPr>
            <xdr:cNvSpPr txBox="1"/>
          </xdr:nvSpPr>
          <xdr:spPr>
            <a:xfrm>
              <a:off x="2331800" y="7081556"/>
              <a:ext cx="2377378" cy="6814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600" b="0" i="0">
                  <a:latin typeface="Cambria Math" panose="02040503050406030204" pitchFamily="18" charset="0"/>
                </a:rPr>
                <a:t>𝑇=(1/𝑇_0 </a:t>
              </a:r>
              <a:r>
                <a:rPr lang="en-US" sz="1600"/>
                <a:t> + </a:t>
              </a:r>
              <a:r>
                <a:rPr lang="en-US" sz="1600" i="0">
                  <a:latin typeface="Cambria Math" panose="02040503050406030204" pitchFamily="18" charset="0"/>
                </a:rPr>
                <a:t>(</a:t>
              </a:r>
              <a:r>
                <a:rPr lang="en-US" sz="1600" b="0" i="0">
                  <a:latin typeface="Cambria Math" panose="02040503050406030204" pitchFamily="18" charset="0"/>
                </a:rPr>
                <a:t>𝐼𝑛(𝑅/𝑅_0 ))/</a:t>
              </a:r>
              <a:r>
                <a:rPr lang="en-US" sz="16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</a:t>
              </a:r>
              <a:r>
                <a:rPr lang="en-US" sz="1600"/>
                <a:t>  )^-1</a:t>
              </a:r>
            </a:p>
          </xdr:txBody>
        </xdr:sp>
      </mc:Fallback>
    </mc:AlternateContent>
    <xdr:clientData/>
  </xdr:oneCellAnchor>
  <xdr:oneCellAnchor>
    <xdr:from>
      <xdr:col>3</xdr:col>
      <xdr:colOff>208643</xdr:colOff>
      <xdr:row>19</xdr:row>
      <xdr:rowOff>108857</xdr:rowOff>
    </xdr:from>
    <xdr:ext cx="1639610" cy="1114686"/>
    <xdr:pic>
      <xdr:nvPicPr>
        <xdr:cNvPr id="6" name="Picture 5">
          <a:extLst>
            <a:ext uri="{FF2B5EF4-FFF2-40B4-BE49-F238E27FC236}">
              <a16:creationId xmlns:a16="http://schemas.microsoft.com/office/drawing/2014/main" id="{29DB30C6-F2F9-6045-9D86-312E74A20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1143" y="4642757"/>
          <a:ext cx="1639610" cy="1114686"/>
        </a:xfrm>
        <a:prstGeom prst="rect">
          <a:avLst/>
        </a:prstGeom>
      </xdr:spPr>
    </xdr:pic>
    <xdr:clientData/>
  </xdr:oneCellAnchor>
  <xdr:oneCellAnchor>
    <xdr:from>
      <xdr:col>6</xdr:col>
      <xdr:colOff>177800</xdr:colOff>
      <xdr:row>28</xdr:row>
      <xdr:rowOff>25400</xdr:rowOff>
    </xdr:from>
    <xdr:ext cx="2519988" cy="2188875"/>
    <xdr:pic>
      <xdr:nvPicPr>
        <xdr:cNvPr id="7" name="Picture 6">
          <a:extLst>
            <a:ext uri="{FF2B5EF4-FFF2-40B4-BE49-F238E27FC236}">
              <a16:creationId xmlns:a16="http://schemas.microsoft.com/office/drawing/2014/main" id="{935753FD-F812-C141-9A21-4439015DB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10200" y="6413500"/>
          <a:ext cx="2519988" cy="2188875"/>
        </a:xfrm>
        <a:prstGeom prst="rect">
          <a:avLst/>
        </a:prstGeom>
      </xdr:spPr>
    </xdr:pic>
    <xdr:clientData/>
  </xdr:oneCellAnchor>
  <xdr:oneCellAnchor>
    <xdr:from>
      <xdr:col>11</xdr:col>
      <xdr:colOff>67733</xdr:colOff>
      <xdr:row>17</xdr:row>
      <xdr:rowOff>139700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352F291-0EE6-584B-9ACF-13C7CB4EB65D}"/>
            </a:ext>
          </a:extLst>
        </xdr:cNvPr>
        <xdr:cNvSpPr txBox="1"/>
      </xdr:nvSpPr>
      <xdr:spPr>
        <a:xfrm>
          <a:off x="10265833" y="42545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63501</xdr:colOff>
      <xdr:row>19</xdr:row>
      <xdr:rowOff>145142</xdr:rowOff>
    </xdr:from>
    <xdr:ext cx="1909754" cy="1613610"/>
    <xdr:pic>
      <xdr:nvPicPr>
        <xdr:cNvPr id="2" name="Picture 1">
          <a:extLst>
            <a:ext uri="{FF2B5EF4-FFF2-40B4-BE49-F238E27FC236}">
              <a16:creationId xmlns:a16="http://schemas.microsoft.com/office/drawing/2014/main" id="{6D397C71-9A74-2842-96D8-22E614F6A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1" y="4005942"/>
          <a:ext cx="1909754" cy="1613610"/>
        </a:xfrm>
        <a:prstGeom prst="rect">
          <a:avLst/>
        </a:prstGeom>
      </xdr:spPr>
    </xdr:pic>
    <xdr:clientData/>
  </xdr:oneCellAnchor>
  <xdr:oneCellAnchor>
    <xdr:from>
      <xdr:col>3</xdr:col>
      <xdr:colOff>109300</xdr:colOff>
      <xdr:row>31</xdr:row>
      <xdr:rowOff>20356</xdr:rowOff>
    </xdr:from>
    <xdr:ext cx="2377378" cy="6814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FC814A3E-CAC0-964E-9588-6C015D07E2F2}"/>
                </a:ext>
              </a:extLst>
            </xdr:cNvPr>
            <xdr:cNvSpPr txBox="1"/>
          </xdr:nvSpPr>
          <xdr:spPr>
            <a:xfrm>
              <a:off x="2585800" y="6319556"/>
              <a:ext cx="2377378" cy="6814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en-US" sz="1600" b="0" i="1">
                      <a:latin typeface="Cambria Math" panose="02040503050406030204" pitchFamily="18" charset="0"/>
                    </a:rPr>
                    <m:t>𝑇</m:t>
                  </m:r>
                  <m:r>
                    <a:rPr lang="en-US" sz="1600" b="0" i="1">
                      <a:latin typeface="Cambria Math" panose="02040503050406030204" pitchFamily="18" charset="0"/>
                    </a:rPr>
                    <m:t>=(</m:t>
                  </m:r>
                  <m:f>
                    <m:fPr>
                      <m:ctrlPr>
                        <a:rPr lang="en-US" sz="16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US" sz="1600" b="0" i="1">
                          <a:latin typeface="Cambria Math" panose="02040503050406030204" pitchFamily="18" charset="0"/>
                        </a:rPr>
                        <m:t>1</m:t>
                      </m:r>
                    </m:num>
                    <m:den>
                      <m:sSub>
                        <m:sSubPr>
                          <m:ctrlPr>
                            <a:rPr lang="en-US" sz="16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n-US" sz="1600" b="0" i="1">
                              <a:latin typeface="Cambria Math" panose="02040503050406030204" pitchFamily="18" charset="0"/>
                            </a:rPr>
                            <m:t>𝑇</m:t>
                          </m:r>
                        </m:e>
                        <m:sub>
                          <m:r>
                            <a:rPr lang="en-US" sz="1600" b="0" i="1">
                              <a:latin typeface="Cambria Math" panose="02040503050406030204" pitchFamily="18" charset="0"/>
                            </a:rPr>
                            <m:t>0</m:t>
                          </m:r>
                        </m:sub>
                      </m:sSub>
                    </m:den>
                  </m:f>
                </m:oMath>
              </a14:m>
              <a:r>
                <a:rPr lang="en-US" sz="1600"/>
                <a:t> + </a:t>
              </a:r>
              <a14:m>
                <m:oMath xmlns:m="http://schemas.openxmlformats.org/officeDocument/2006/math">
                  <m:f>
                    <m:fPr>
                      <m:ctrlPr>
                        <a:rPr lang="en-US" sz="16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US" sz="1600" b="0" i="1">
                          <a:latin typeface="Cambria Math" panose="02040503050406030204" pitchFamily="18" charset="0"/>
                        </a:rPr>
                        <m:t>𝐼𝑛</m:t>
                      </m:r>
                      <m:r>
                        <a:rPr lang="en-US" sz="1600" b="0" i="1">
                          <a:latin typeface="Cambria Math" panose="02040503050406030204" pitchFamily="18" charset="0"/>
                        </a:rPr>
                        <m:t>(</m:t>
                      </m:r>
                      <m:f>
                        <m:fPr>
                          <m:ctrlPr>
                            <a:rPr lang="en-US" sz="1600" b="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n-US" sz="1600" b="0" i="1">
                              <a:latin typeface="Cambria Math" panose="02040503050406030204" pitchFamily="18" charset="0"/>
                            </a:rPr>
                            <m:t>𝑅</m:t>
                          </m:r>
                        </m:num>
                        <m:den>
                          <m:sSub>
                            <m:sSubPr>
                              <m:ctrlPr>
                                <a:rPr lang="en-US" sz="1600" b="0" i="1">
                                  <a:latin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a:rPr lang="en-US" sz="1600" b="0" i="1">
                                  <a:latin typeface="Cambria Math" panose="02040503050406030204" pitchFamily="18" charset="0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en-US" sz="16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sub>
                          </m:sSub>
                        </m:den>
                      </m:f>
                      <m:r>
                        <a:rPr lang="en-US" sz="1600" b="0" i="1">
                          <a:latin typeface="Cambria Math" panose="02040503050406030204" pitchFamily="18" charset="0"/>
                        </a:rPr>
                        <m:t>)</m:t>
                      </m:r>
                    </m:num>
                    <m:den>
                      <m:r>
                        <a:rPr lang="en-US" sz="16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𝛽</m:t>
                      </m:r>
                    </m:den>
                  </m:f>
                </m:oMath>
              </a14:m>
              <a:r>
                <a:rPr lang="en-US" sz="1600"/>
                <a:t>  )^-1</a:t>
              </a:r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FC814A3E-CAC0-964E-9588-6C015D07E2F2}"/>
                </a:ext>
              </a:extLst>
            </xdr:cNvPr>
            <xdr:cNvSpPr txBox="1"/>
          </xdr:nvSpPr>
          <xdr:spPr>
            <a:xfrm>
              <a:off x="2585800" y="6319556"/>
              <a:ext cx="2377378" cy="6814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600" b="0" i="0">
                  <a:latin typeface="Cambria Math" panose="02040503050406030204" pitchFamily="18" charset="0"/>
                </a:rPr>
                <a:t>𝑇=(1/𝑇_0 </a:t>
              </a:r>
              <a:r>
                <a:rPr lang="en-US" sz="1600"/>
                <a:t> + </a:t>
              </a:r>
              <a:r>
                <a:rPr lang="en-US" sz="1600" i="0">
                  <a:latin typeface="Cambria Math" panose="02040503050406030204" pitchFamily="18" charset="0"/>
                </a:rPr>
                <a:t>(</a:t>
              </a:r>
              <a:r>
                <a:rPr lang="en-US" sz="1600" b="0" i="0">
                  <a:latin typeface="Cambria Math" panose="02040503050406030204" pitchFamily="18" charset="0"/>
                </a:rPr>
                <a:t>𝐼𝑛(𝑅/𝑅_0 ))/</a:t>
              </a:r>
              <a:r>
                <a:rPr lang="en-US" sz="16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</a:t>
              </a:r>
              <a:r>
                <a:rPr lang="en-US" sz="1600"/>
                <a:t>  )^-1</a:t>
              </a:r>
            </a:p>
          </xdr:txBody>
        </xdr:sp>
      </mc:Fallback>
    </mc:AlternateContent>
    <xdr:clientData/>
  </xdr:oneCellAnchor>
  <xdr:oneCellAnchor>
    <xdr:from>
      <xdr:col>3</xdr:col>
      <xdr:colOff>208643</xdr:colOff>
      <xdr:row>19</xdr:row>
      <xdr:rowOff>108857</xdr:rowOff>
    </xdr:from>
    <xdr:ext cx="1633838" cy="1107471"/>
    <xdr:pic>
      <xdr:nvPicPr>
        <xdr:cNvPr id="4" name="Picture 3">
          <a:extLst>
            <a:ext uri="{FF2B5EF4-FFF2-40B4-BE49-F238E27FC236}">
              <a16:creationId xmlns:a16="http://schemas.microsoft.com/office/drawing/2014/main" id="{04282EC0-3578-5041-88C5-BB427BF5C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5143" y="3969657"/>
          <a:ext cx="1633838" cy="1107471"/>
        </a:xfrm>
        <a:prstGeom prst="rect">
          <a:avLst/>
        </a:prstGeom>
      </xdr:spPr>
    </xdr:pic>
    <xdr:clientData/>
  </xdr:oneCellAnchor>
  <xdr:oneCellAnchor>
    <xdr:from>
      <xdr:col>9</xdr:col>
      <xdr:colOff>67733</xdr:colOff>
      <xdr:row>30</xdr:row>
      <xdr:rowOff>139700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4F8BB8E-C5C1-034E-9D61-856A18E926C5}"/>
            </a:ext>
          </a:extLst>
        </xdr:cNvPr>
        <xdr:cNvSpPr txBox="1"/>
      </xdr:nvSpPr>
      <xdr:spPr>
        <a:xfrm>
          <a:off x="7497233" y="6235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67733</xdr:colOff>
      <xdr:row>15</xdr:row>
      <xdr:rowOff>139700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8DC380C-CB00-EF41-9941-45BCD2D67585}"/>
            </a:ext>
          </a:extLst>
        </xdr:cNvPr>
        <xdr:cNvSpPr txBox="1"/>
      </xdr:nvSpPr>
      <xdr:spPr>
        <a:xfrm>
          <a:off x="14101233" y="3187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67733</xdr:colOff>
      <xdr:row>21</xdr:row>
      <xdr:rowOff>139700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71D2B8D-BC65-534F-A47B-01709E335DA4}"/>
            </a:ext>
          </a:extLst>
        </xdr:cNvPr>
        <xdr:cNvSpPr txBox="1"/>
      </xdr:nvSpPr>
      <xdr:spPr>
        <a:xfrm>
          <a:off x="12450233" y="44069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67733</xdr:colOff>
      <xdr:row>21</xdr:row>
      <xdr:rowOff>139700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144B10F-6D21-D545-BF86-EE5FB0DE5507}"/>
            </a:ext>
          </a:extLst>
        </xdr:cNvPr>
        <xdr:cNvSpPr txBox="1"/>
      </xdr:nvSpPr>
      <xdr:spPr>
        <a:xfrm>
          <a:off x="12450233" y="44069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436561</xdr:colOff>
      <xdr:row>13</xdr:row>
      <xdr:rowOff>127001</xdr:rowOff>
    </xdr:from>
    <xdr:ext cx="3429001" cy="1202709"/>
    <xdr:pic>
      <xdr:nvPicPr>
        <xdr:cNvPr id="9" name="Picture 8">
          <a:extLst>
            <a:ext uri="{FF2B5EF4-FFF2-40B4-BE49-F238E27FC236}">
              <a16:creationId xmlns:a16="http://schemas.microsoft.com/office/drawing/2014/main" id="{8E2BF6AF-8AAB-B94A-BF3B-7A6D52325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2061" y="2768601"/>
          <a:ext cx="3429001" cy="1202709"/>
        </a:xfrm>
        <a:prstGeom prst="rect">
          <a:avLst/>
        </a:prstGeom>
      </xdr:spPr>
    </xdr:pic>
    <xdr:clientData/>
  </xdr:oneCellAnchor>
  <xdr:oneCellAnchor>
    <xdr:from>
      <xdr:col>12</xdr:col>
      <xdr:colOff>67733</xdr:colOff>
      <xdr:row>30</xdr:row>
      <xdr:rowOff>139700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7BF07C3-E1F5-3E4A-81E2-EF9C48D55D53}"/>
            </a:ext>
          </a:extLst>
        </xdr:cNvPr>
        <xdr:cNvSpPr txBox="1"/>
      </xdr:nvSpPr>
      <xdr:spPr>
        <a:xfrm>
          <a:off x="9973733" y="6235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6</xdr:col>
      <xdr:colOff>43296</xdr:colOff>
      <xdr:row>37</xdr:row>
      <xdr:rowOff>127000</xdr:rowOff>
    </xdr:from>
    <xdr:ext cx="2690812" cy="351740"/>
    <xdr:pic>
      <xdr:nvPicPr>
        <xdr:cNvPr id="11" name="Picture 10">
          <a:extLst>
            <a:ext uri="{FF2B5EF4-FFF2-40B4-BE49-F238E27FC236}">
              <a16:creationId xmlns:a16="http://schemas.microsoft.com/office/drawing/2014/main" id="{D43B4BF9-4820-FD48-8AB8-982FDD528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96478" y="9109364"/>
          <a:ext cx="2690812" cy="351740"/>
        </a:xfrm>
        <a:prstGeom prst="rect">
          <a:avLst/>
        </a:prstGeom>
      </xdr:spPr>
    </xdr:pic>
    <xdr:clientData/>
  </xdr:oneCellAnchor>
  <xdr:oneCellAnchor>
    <xdr:from>
      <xdr:col>6</xdr:col>
      <xdr:colOff>67733</xdr:colOff>
      <xdr:row>30</xdr:row>
      <xdr:rowOff>139700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ACB68AC-6B8A-434C-BE7E-DD6556580AA3}"/>
            </a:ext>
          </a:extLst>
        </xdr:cNvPr>
        <xdr:cNvSpPr txBox="1"/>
      </xdr:nvSpPr>
      <xdr:spPr>
        <a:xfrm>
          <a:off x="5020733" y="6235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5</xdr:col>
      <xdr:colOff>920749</xdr:colOff>
      <xdr:row>21</xdr:row>
      <xdr:rowOff>79375</xdr:rowOff>
    </xdr:from>
    <xdr:ext cx="2944813" cy="298571"/>
    <xdr:pic>
      <xdr:nvPicPr>
        <xdr:cNvPr id="13" name="Picture 12">
          <a:extLst>
            <a:ext uri="{FF2B5EF4-FFF2-40B4-BE49-F238E27FC236}">
              <a16:creationId xmlns:a16="http://schemas.microsoft.com/office/drawing/2014/main" id="{F8D17C96-9494-AD47-97C3-431E8F45E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9349" y="4346575"/>
          <a:ext cx="2944813" cy="298571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554568</xdr:colOff>
      <xdr:row>23</xdr:row>
      <xdr:rowOff>6350</xdr:rowOff>
    </xdr:from>
    <xdr:to>
      <xdr:col>11</xdr:col>
      <xdr:colOff>292</xdr:colOff>
      <xdr:row>56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DBB6DF-5D6C-5442-BADB-4B9071BD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068" y="5441950"/>
          <a:ext cx="11434524" cy="67500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</xdr:row>
      <xdr:rowOff>165099</xdr:rowOff>
    </xdr:from>
    <xdr:to>
      <xdr:col>11</xdr:col>
      <xdr:colOff>19498</xdr:colOff>
      <xdr:row>22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6B9CAA-12B3-FC4F-B668-EAC49AF27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8299"/>
          <a:ext cx="12224198" cy="5003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88899</xdr:rowOff>
    </xdr:from>
    <xdr:to>
      <xdr:col>11</xdr:col>
      <xdr:colOff>12123</xdr:colOff>
      <xdr:row>213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6809BD-0277-DC87-F77C-72B8C2A05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470099"/>
          <a:ext cx="12826423" cy="16598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165098</xdr:rowOff>
    </xdr:from>
    <xdr:to>
      <xdr:col>11</xdr:col>
      <xdr:colOff>0</xdr:colOff>
      <xdr:row>138</xdr:row>
      <xdr:rowOff>85911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4A078F3-F27E-EEA3-2CC1-8B09B8F99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06298"/>
          <a:ext cx="12814300" cy="165832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0FD4D-5000-4D45-AF17-32523E7840C5}">
  <dimension ref="B3:N52"/>
  <sheetViews>
    <sheetView tabSelected="1" zoomScale="130" zoomScaleNormal="130" workbookViewId="0">
      <selection activeCell="B23" sqref="B23"/>
    </sheetView>
  </sheetViews>
  <sheetFormatPr baseColWidth="10" defaultRowHeight="16"/>
  <cols>
    <col min="1" max="1" width="3" customWidth="1"/>
    <col min="2" max="2" width="13" customWidth="1"/>
    <col min="3" max="3" width="13.1640625" customWidth="1"/>
    <col min="4" max="4" width="14.1640625" customWidth="1"/>
    <col min="5" max="5" width="12.83203125" customWidth="1"/>
    <col min="6" max="6" width="12.5" customWidth="1"/>
    <col min="7" max="7" width="29.83203125" customWidth="1"/>
    <col min="8" max="8" width="6.6640625" customWidth="1"/>
    <col min="9" max="9" width="6.83203125" customWidth="1"/>
    <col min="10" max="10" width="17.5" customWidth="1"/>
    <col min="11" max="11" width="4.33203125" customWidth="1"/>
    <col min="12" max="12" width="15.33203125" bestFit="1" customWidth="1"/>
  </cols>
  <sheetData>
    <row r="3" spans="2:10" ht="20" thickBot="1">
      <c r="B3" s="1" t="s">
        <v>11</v>
      </c>
      <c r="F3" s="1" t="s">
        <v>1</v>
      </c>
    </row>
    <row r="4" spans="2:10" ht="19">
      <c r="B4" s="76">
        <v>1</v>
      </c>
      <c r="C4" s="77">
        <f>LN(B9)</f>
        <v>10.366340677753023</v>
      </c>
      <c r="D4" s="78">
        <f>POWER(LN(B9),3)</f>
        <v>1113.9775330221653</v>
      </c>
      <c r="E4" s="79"/>
      <c r="F4" s="80">
        <f>1/(C9+273.15)</f>
        <v>3.6609921288669233E-3</v>
      </c>
    </row>
    <row r="5" spans="2:10" ht="19">
      <c r="B5" s="81">
        <v>1</v>
      </c>
      <c r="C5" s="82">
        <f>LN(B10)</f>
        <v>9.2103403719761836</v>
      </c>
      <c r="D5" s="83">
        <f>POWER(LN(B10),3)</f>
        <v>781.31657944069514</v>
      </c>
      <c r="E5" s="79"/>
      <c r="F5" s="84">
        <f>1/(C10+273.15)</f>
        <v>3.3540164346805303E-3</v>
      </c>
    </row>
    <row r="6" spans="2:10" ht="20" thickBot="1">
      <c r="B6" s="85">
        <v>1</v>
      </c>
      <c r="C6" s="86">
        <f>LN(B11)</f>
        <v>6.230481447578482</v>
      </c>
      <c r="D6" s="87">
        <f>POWER(LN(B11),3)</f>
        <v>241.86043046245638</v>
      </c>
      <c r="E6" s="79"/>
      <c r="F6" s="88">
        <f>1/(C11+273.15)</f>
        <v>2.6099438862064468E-3</v>
      </c>
    </row>
    <row r="7" spans="2:10" ht="17" thickBot="1">
      <c r="B7" s="89"/>
      <c r="C7" s="89"/>
    </row>
    <row r="8" spans="2:10" ht="21">
      <c r="B8" s="90" t="s">
        <v>23</v>
      </c>
      <c r="C8" s="91" t="s">
        <v>22</v>
      </c>
      <c r="G8" s="62" t="s">
        <v>12</v>
      </c>
    </row>
    <row r="9" spans="2:10" ht="24">
      <c r="B9" s="8">
        <v>31772</v>
      </c>
      <c r="C9" s="92">
        <v>0</v>
      </c>
      <c r="D9" s="93"/>
      <c r="E9" s="54"/>
      <c r="G9" s="62" t="s">
        <v>13</v>
      </c>
    </row>
    <row r="10" spans="2:10" ht="19">
      <c r="B10" s="5">
        <v>10000</v>
      </c>
      <c r="C10" s="94">
        <v>25</v>
      </c>
      <c r="D10" s="93"/>
      <c r="E10" s="54"/>
      <c r="G10" s="60" t="s">
        <v>0</v>
      </c>
    </row>
    <row r="11" spans="2:10" ht="20" thickBot="1">
      <c r="B11" s="9">
        <v>508</v>
      </c>
      <c r="C11" s="95">
        <v>110</v>
      </c>
      <c r="D11" s="93"/>
      <c r="E11" s="54"/>
      <c r="G11" s="58" t="s">
        <v>37</v>
      </c>
    </row>
    <row r="12" spans="2:10" ht="20" thickBot="1">
      <c r="G12" s="1" t="s">
        <v>2</v>
      </c>
    </row>
    <row r="13" spans="2:10" ht="20" thickBot="1">
      <c r="G13" s="96">
        <f t="array" ref="G13:G15">MMULT(MINVERSE(B4:D6),F4:F6)</f>
        <v>1.1857629959008426E-3</v>
      </c>
      <c r="H13" s="14" t="s">
        <v>3</v>
      </c>
    </row>
    <row r="14" spans="2:10" ht="20" thickBot="1">
      <c r="F14" s="99"/>
      <c r="G14" s="97">
        <v>2.2281851064627533E-4</v>
      </c>
      <c r="H14" s="14" t="s">
        <v>4</v>
      </c>
      <c r="I14" s="100" t="s">
        <v>32</v>
      </c>
      <c r="J14" s="101">
        <v>3636</v>
      </c>
    </row>
    <row r="15" spans="2:10" ht="20" thickBot="1">
      <c r="G15" s="98">
        <v>1.4849181190259871E-7</v>
      </c>
      <c r="H15" s="14" t="s">
        <v>5</v>
      </c>
    </row>
    <row r="16" spans="2:10" ht="17" thickBot="1"/>
    <row r="17" spans="2:14">
      <c r="G17" s="102" t="s">
        <v>14</v>
      </c>
      <c r="H17" s="103"/>
      <c r="I17" s="104"/>
    </row>
    <row r="18" spans="2:14">
      <c r="G18" s="105">
        <f>(G13+G14*LN(J14)+G15*(LN(J14))^3)^-1</f>
        <v>323.16395450192698</v>
      </c>
      <c r="H18" s="106" t="s">
        <v>7</v>
      </c>
      <c r="I18" s="107"/>
    </row>
    <row r="19" spans="2:14" ht="17" thickBot="1">
      <c r="C19" s="50"/>
      <c r="G19" s="108">
        <f>G18-273.15</f>
        <v>50.013954501927003</v>
      </c>
      <c r="H19" s="109" t="s">
        <v>6</v>
      </c>
      <c r="I19" s="110"/>
    </row>
    <row r="20" spans="2:14">
      <c r="B20" s="46"/>
      <c r="C20" s="45"/>
      <c r="D20" s="44"/>
      <c r="E20" s="43"/>
    </row>
    <row r="21" spans="2:14">
      <c r="B21" s="111" t="s">
        <v>20</v>
      </c>
      <c r="C21" s="112" t="s">
        <v>21</v>
      </c>
      <c r="E21" s="19"/>
    </row>
    <row r="22" spans="2:14">
      <c r="B22" s="5">
        <v>10000</v>
      </c>
      <c r="C22" s="4">
        <v>25</v>
      </c>
      <c r="E22" s="19"/>
    </row>
    <row r="23" spans="2:14">
      <c r="B23" s="5">
        <v>508</v>
      </c>
      <c r="C23" s="4">
        <v>110</v>
      </c>
      <c r="E23" s="19"/>
      <c r="N23" s="113"/>
    </row>
    <row r="24" spans="2:14">
      <c r="B24" s="114" t="s">
        <v>19</v>
      </c>
      <c r="C24" s="115">
        <f>LN(B22/B23)/((1/(C22+273.15)) - (1/(C23+273.15)))</f>
        <v>4004.7962130960013</v>
      </c>
      <c r="E24" s="19"/>
    </row>
    <row r="25" spans="2:14">
      <c r="B25" s="20"/>
      <c r="E25" s="19"/>
    </row>
    <row r="26" spans="2:14">
      <c r="B26" s="20"/>
      <c r="E26" s="19"/>
    </row>
    <row r="27" spans="2:14" ht="17" thickBot="1">
      <c r="B27" s="20"/>
      <c r="E27" s="35"/>
    </row>
    <row r="28" spans="2:14" ht="17" thickBot="1">
      <c r="B28" s="20"/>
      <c r="E28" s="19"/>
      <c r="G28" s="46"/>
      <c r="H28" s="44"/>
      <c r="I28" s="44"/>
      <c r="J28" s="43"/>
    </row>
    <row r="29" spans="2:14" ht="17" thickBot="1">
      <c r="B29" s="116" t="s">
        <v>24</v>
      </c>
      <c r="C29" s="117" t="s">
        <v>25</v>
      </c>
      <c r="D29" s="117" t="s">
        <v>17</v>
      </c>
      <c r="E29" s="118" t="s">
        <v>26</v>
      </c>
      <c r="G29" s="20"/>
      <c r="I29" s="119" t="s">
        <v>33</v>
      </c>
      <c r="J29" s="120">
        <v>7</v>
      </c>
    </row>
    <row r="30" spans="2:14" ht="18" thickTop="1" thickBot="1">
      <c r="B30" s="10">
        <f>B22</f>
        <v>10000</v>
      </c>
      <c r="C30" s="12">
        <f>C22</f>
        <v>25</v>
      </c>
      <c r="D30" s="4">
        <v>2</v>
      </c>
      <c r="E30" s="6">
        <f>C24</f>
        <v>4004.7962130960013</v>
      </c>
      <c r="G30" s="20"/>
      <c r="I30" s="121"/>
      <c r="J30" s="121"/>
    </row>
    <row r="31" spans="2:14" ht="18" thickTop="1" thickBot="1">
      <c r="B31" s="122" t="s">
        <v>8</v>
      </c>
      <c r="C31" s="123">
        <f>B30*EXP(E30*((1/(D30+273.15))-(1/(C30+273.15))))</f>
        <v>30734.599207965395</v>
      </c>
      <c r="D31" s="121"/>
      <c r="E31" s="121"/>
      <c r="G31" s="20"/>
      <c r="I31" s="121"/>
      <c r="J31" s="121"/>
    </row>
    <row r="32" spans="2:14" ht="18" thickTop="1" thickBot="1">
      <c r="B32" s="20"/>
      <c r="E32" s="19"/>
      <c r="G32" s="20"/>
      <c r="I32" s="124" t="s">
        <v>34</v>
      </c>
      <c r="J32" s="125">
        <f>EXP(((J39-(J38/2))^(1/3))-((J39+(J38/2))^(1/3)))</f>
        <v>22616.962886419544</v>
      </c>
    </row>
    <row r="33" spans="2:10" ht="18" thickTop="1" thickBot="1">
      <c r="B33" s="20"/>
      <c r="E33" s="19"/>
      <c r="G33" s="20"/>
      <c r="I33" s="121"/>
      <c r="J33" s="121"/>
    </row>
    <row r="34" spans="2:10" ht="18" thickTop="1" thickBot="1">
      <c r="B34" s="20"/>
      <c r="E34" s="19"/>
      <c r="G34" s="20"/>
      <c r="I34" s="121"/>
      <c r="J34" s="121"/>
    </row>
    <row r="35" spans="2:10" ht="18" thickTop="1" thickBot="1">
      <c r="B35" s="116" t="s">
        <v>24</v>
      </c>
      <c r="C35" s="117" t="s">
        <v>25</v>
      </c>
      <c r="D35" s="117" t="s">
        <v>18</v>
      </c>
      <c r="E35" s="118" t="s">
        <v>26</v>
      </c>
      <c r="G35" s="20"/>
      <c r="I35" s="121"/>
      <c r="J35" s="121"/>
    </row>
    <row r="36" spans="2:10" ht="18" thickTop="1" thickBot="1">
      <c r="B36" s="10">
        <f>B22</f>
        <v>10000</v>
      </c>
      <c r="C36" s="11">
        <f>C22</f>
        <v>25</v>
      </c>
      <c r="D36" s="7">
        <v>3635.8</v>
      </c>
      <c r="E36" s="6">
        <f>C24</f>
        <v>4004.7962130960013</v>
      </c>
      <c r="G36" s="20"/>
      <c r="I36" s="121"/>
      <c r="J36" s="121"/>
    </row>
    <row r="37" spans="2:10" ht="18" thickTop="1" thickBot="1">
      <c r="B37" s="126" t="s">
        <v>9</v>
      </c>
      <c r="C37" s="115">
        <f>(1/(C36+273.15)+(LN(D36/B36))/E36)^-1</f>
        <v>322.43706935867931</v>
      </c>
      <c r="D37" s="121"/>
      <c r="E37" s="121"/>
      <c r="G37" s="20"/>
      <c r="I37" s="121"/>
      <c r="J37" s="121"/>
    </row>
    <row r="38" spans="2:10" ht="18" thickTop="1" thickBot="1">
      <c r="B38" s="126" t="s">
        <v>10</v>
      </c>
      <c r="C38" s="115">
        <f>C37-273.15</f>
        <v>49.287069358679332</v>
      </c>
      <c r="D38" s="121"/>
      <c r="E38" s="121"/>
      <c r="G38" s="20"/>
      <c r="I38" s="127" t="s">
        <v>35</v>
      </c>
      <c r="J38" s="128">
        <f>(1/G15)*(G13-(1/(J29+273.15)))</f>
        <v>-16053.096154554047</v>
      </c>
    </row>
    <row r="39" spans="2:10" ht="17" thickTop="1">
      <c r="B39" s="20"/>
      <c r="E39" s="19"/>
      <c r="G39" s="20"/>
      <c r="I39" s="127" t="s">
        <v>36</v>
      </c>
      <c r="J39" s="129">
        <f>SQRT(((G14/(3*G15))^3)+((J38^2)/4))</f>
        <v>13768.135156357401</v>
      </c>
    </row>
    <row r="40" spans="2:10" ht="17" thickBot="1">
      <c r="B40" s="18"/>
      <c r="C40" s="17"/>
      <c r="D40" s="17"/>
      <c r="E40" s="16"/>
      <c r="G40" s="18"/>
      <c r="H40" s="17"/>
      <c r="I40" s="17"/>
      <c r="J40" s="16"/>
    </row>
    <row r="41" spans="2:10" ht="19">
      <c r="C41" s="15" t="s">
        <v>15</v>
      </c>
    </row>
    <row r="42" spans="2:10">
      <c r="C42" s="14"/>
    </row>
    <row r="52" spans="4:5">
      <c r="D52" s="2"/>
      <c r="E52" s="2"/>
    </row>
  </sheetData>
  <sheetProtection sheet="1" objects="1" scenarios="1"/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AECC8-2B2F-7149-A4CA-C2A12DB8E806}">
  <dimension ref="B3:M52"/>
  <sheetViews>
    <sheetView zoomScale="110" zoomScaleNormal="110" workbookViewId="0">
      <selection activeCell="L23" sqref="L23"/>
    </sheetView>
  </sheetViews>
  <sheetFormatPr baseColWidth="10" defaultRowHeight="16"/>
  <cols>
    <col min="1" max="1" width="3" customWidth="1"/>
    <col min="2" max="2" width="13" customWidth="1"/>
    <col min="3" max="3" width="13.1640625" customWidth="1"/>
    <col min="4" max="4" width="14.1640625" customWidth="1"/>
    <col min="5" max="5" width="12.83203125" customWidth="1"/>
    <col min="6" max="6" width="12.5" customWidth="1"/>
    <col min="7" max="7" width="23.6640625" customWidth="1"/>
    <col min="8" max="8" width="6.6640625" customWidth="1"/>
    <col min="9" max="9" width="6.83203125" customWidth="1"/>
    <col min="10" max="10" width="15.83203125" customWidth="1"/>
    <col min="11" max="11" width="4.33203125" customWidth="1"/>
    <col min="12" max="12" width="19" style="13" customWidth="1"/>
    <col min="13" max="13" width="27.6640625" customWidth="1"/>
    <col min="16" max="16" width="15.83203125" customWidth="1"/>
    <col min="18" max="18" width="15.83203125" customWidth="1"/>
  </cols>
  <sheetData>
    <row r="3" spans="2:13" ht="20" thickBot="1">
      <c r="B3" s="1" t="s">
        <v>11</v>
      </c>
      <c r="G3" s="1" t="s">
        <v>1</v>
      </c>
    </row>
    <row r="4" spans="2:13" ht="20" thickBot="1">
      <c r="B4" s="67">
        <v>1</v>
      </c>
      <c r="C4" s="66">
        <f>LN(C10)</f>
        <v>10.390655527951443</v>
      </c>
      <c r="D4" s="65">
        <f>LN(C10)^2</f>
        <v>107.96572230054788</v>
      </c>
      <c r="E4" s="65">
        <f>LN(C10)^3</f>
        <v>1121.8346292514582</v>
      </c>
      <c r="G4" s="53">
        <f>1/(D10+273.15)</f>
        <v>3.6609921288669233E-3</v>
      </c>
    </row>
    <row r="5" spans="2:13" ht="20" thickBot="1">
      <c r="B5" s="67">
        <v>1</v>
      </c>
      <c r="C5" s="66">
        <f>LN(C11)</f>
        <v>9.2103403719761836</v>
      </c>
      <c r="D5" s="65">
        <f>LN(C11)^2</f>
        <v>84.830369767654389</v>
      </c>
      <c r="E5" s="65">
        <f>LN(C11)^3</f>
        <v>781.31657944069514</v>
      </c>
      <c r="G5" s="53">
        <f>1/(D11+273.15)</f>
        <v>3.3540164346805303E-3</v>
      </c>
    </row>
    <row r="6" spans="2:13" ht="20" thickBot="1">
      <c r="B6" s="67">
        <v>1</v>
      </c>
      <c r="C6" s="66">
        <f>LN(C12)</f>
        <v>8.1900770497190489</v>
      </c>
      <c r="D6" s="65">
        <f>LN(C12)^2</f>
        <v>67.07736208033468</v>
      </c>
      <c r="E6" s="65">
        <f>LN(C12)^3</f>
        <v>549.36876372984386</v>
      </c>
      <c r="G6" s="53">
        <f>1/(D12+273.15)</f>
        <v>3.0945381401825778E-3</v>
      </c>
    </row>
    <row r="7" spans="2:13" ht="20" thickBot="1">
      <c r="B7" s="67">
        <v>1</v>
      </c>
      <c r="C7" s="66">
        <f>LN(C13)</f>
        <v>5.9573905667742304</v>
      </c>
      <c r="D7" s="65">
        <f>LN(C13)^2</f>
        <v>35.490502365090585</v>
      </c>
      <c r="E7" s="65">
        <f>LN(C13)^3</f>
        <v>211.43078399986916</v>
      </c>
      <c r="G7" s="53">
        <f>1/(D13+273.15)</f>
        <v>2.5435584382551188E-3</v>
      </c>
    </row>
    <row r="8" spans="2:13" ht="22" thickBot="1">
      <c r="G8" s="62" t="s">
        <v>12</v>
      </c>
    </row>
    <row r="9" spans="2:13" ht="24">
      <c r="C9" s="64" t="s">
        <v>23</v>
      </c>
      <c r="D9" s="63" t="s">
        <v>22</v>
      </c>
      <c r="E9" s="54"/>
      <c r="G9" s="62" t="s">
        <v>13</v>
      </c>
    </row>
    <row r="10" spans="2:13" ht="19">
      <c r="C10" s="8">
        <v>32554</v>
      </c>
      <c r="D10" s="61">
        <v>0</v>
      </c>
      <c r="E10" s="54"/>
      <c r="G10" s="60" t="s">
        <v>0</v>
      </c>
    </row>
    <row r="11" spans="2:13" ht="19">
      <c r="C11" s="5">
        <v>10000</v>
      </c>
      <c r="D11" s="59">
        <v>25</v>
      </c>
      <c r="E11" s="54"/>
      <c r="G11" s="58" t="s">
        <v>31</v>
      </c>
    </row>
    <row r="12" spans="2:13" ht="20" thickBot="1">
      <c r="C12" s="57">
        <v>3605</v>
      </c>
      <c r="D12" s="56">
        <v>50</v>
      </c>
      <c r="E12" s="54"/>
      <c r="G12" s="1" t="s">
        <v>2</v>
      </c>
      <c r="M12" s="1"/>
    </row>
    <row r="13" spans="2:13" ht="20" thickBot="1">
      <c r="C13" s="9">
        <v>386.6</v>
      </c>
      <c r="D13" s="55">
        <v>120</v>
      </c>
      <c r="E13" s="54"/>
      <c r="G13" s="53">
        <f t="array" ref="G13:G16">MMULT(MINVERSE(B4:E7),G4:G7)</f>
        <v>1.1566517568013593E-3</v>
      </c>
      <c r="H13" s="15" t="s">
        <v>3</v>
      </c>
      <c r="L13"/>
    </row>
    <row r="14" spans="2:13" ht="20" thickBot="1">
      <c r="E14" s="54"/>
      <c r="G14" s="53">
        <v>2.2588944844303613E-4</v>
      </c>
      <c r="H14" s="15" t="s">
        <v>4</v>
      </c>
      <c r="L14"/>
    </row>
    <row r="15" spans="2:13" ht="20" thickBot="1">
      <c r="G15" s="53">
        <v>7.6392096939057255E-7</v>
      </c>
      <c r="H15" s="15" t="s">
        <v>5</v>
      </c>
      <c r="L15"/>
    </row>
    <row r="16" spans="2:13" ht="20" thickBot="1">
      <c r="G16" s="53">
        <v>6.6608432923274822E-8</v>
      </c>
      <c r="H16" s="15" t="s">
        <v>16</v>
      </c>
      <c r="L16"/>
    </row>
    <row r="17" spans="2:13" ht="17" thickBot="1">
      <c r="L17"/>
    </row>
    <row r="18" spans="2:13" ht="17" thickBot="1">
      <c r="F18" s="52"/>
      <c r="G18" s="51" t="s">
        <v>27</v>
      </c>
      <c r="H18" s="130">
        <v>555</v>
      </c>
      <c r="I18" s="131"/>
      <c r="L18"/>
    </row>
    <row r="19" spans="2:13" ht="17" thickBot="1">
      <c r="C19" s="50"/>
      <c r="G19" s="49" t="s">
        <v>14</v>
      </c>
      <c r="H19" s="48"/>
      <c r="I19" s="47"/>
      <c r="L19"/>
    </row>
    <row r="20" spans="2:13">
      <c r="B20" s="46"/>
      <c r="C20" s="45"/>
      <c r="D20" s="44"/>
      <c r="E20" s="43"/>
      <c r="G20" s="42">
        <f>(G13+(G14*LN(H18))+(G15*(LN(H18))^2) +(G16*(LN(H18))^3))^-1</f>
        <v>380.03320986999938</v>
      </c>
      <c r="H20" s="25" t="s">
        <v>7</v>
      </c>
      <c r="I20" s="41"/>
      <c r="L20"/>
    </row>
    <row r="21" spans="2:13" ht="17" thickBot="1">
      <c r="B21" s="40" t="s">
        <v>20</v>
      </c>
      <c r="C21" s="33" t="s">
        <v>21</v>
      </c>
      <c r="E21" s="19"/>
      <c r="G21" s="39">
        <f>G20-273.15</f>
        <v>106.8832098699994</v>
      </c>
      <c r="H21" s="38" t="s">
        <v>6</v>
      </c>
      <c r="I21" s="37"/>
      <c r="L21"/>
    </row>
    <row r="22" spans="2:13" ht="24">
      <c r="B22" s="5">
        <v>10000</v>
      </c>
      <c r="C22" s="4">
        <v>25</v>
      </c>
      <c r="E22" s="19"/>
      <c r="G22" s="34"/>
      <c r="L22"/>
    </row>
    <row r="23" spans="2:13" ht="24">
      <c r="B23" s="5">
        <v>386.6</v>
      </c>
      <c r="C23" s="4">
        <v>120</v>
      </c>
      <c r="E23" s="19"/>
      <c r="G23" s="34"/>
      <c r="L23"/>
    </row>
    <row r="24" spans="2:13">
      <c r="B24" s="36" t="s">
        <v>19</v>
      </c>
      <c r="C24" s="22">
        <f>LN(B22/B23)/((1/(C22+273.15)) - (1/(C23+273.15)))</f>
        <v>4013.7179465800109</v>
      </c>
      <c r="E24" s="19"/>
      <c r="L24"/>
    </row>
    <row r="25" spans="2:13">
      <c r="B25" s="20"/>
      <c r="E25" s="19"/>
      <c r="L25"/>
    </row>
    <row r="26" spans="2:13" ht="17" thickBot="1">
      <c r="B26" s="20"/>
      <c r="E26" s="19"/>
      <c r="L26"/>
    </row>
    <row r="27" spans="2:13" ht="24">
      <c r="B27" s="20"/>
      <c r="E27" s="35"/>
      <c r="G27" s="135" t="s">
        <v>30</v>
      </c>
      <c r="H27" s="44"/>
      <c r="I27" s="43"/>
      <c r="L27"/>
      <c r="M27" s="34"/>
    </row>
    <row r="28" spans="2:13" ht="19">
      <c r="B28" s="20"/>
      <c r="E28" s="19"/>
      <c r="G28" s="68" t="s">
        <v>29</v>
      </c>
      <c r="H28" s="29"/>
      <c r="I28" s="69"/>
      <c r="J28" s="24"/>
      <c r="L28"/>
    </row>
    <row r="29" spans="2:13" ht="19">
      <c r="B29" s="28" t="s">
        <v>24</v>
      </c>
      <c r="C29" s="27" t="s">
        <v>25</v>
      </c>
      <c r="D29" s="27" t="s">
        <v>17</v>
      </c>
      <c r="E29" s="26" t="s">
        <v>26</v>
      </c>
      <c r="G29" s="134">
        <v>3.354016E-3</v>
      </c>
      <c r="H29" s="30" t="s">
        <v>3</v>
      </c>
      <c r="I29" s="70" t="s">
        <v>28</v>
      </c>
      <c r="J29" s="24"/>
      <c r="L29"/>
    </row>
    <row r="30" spans="2:13" ht="20" thickBot="1">
      <c r="B30" s="10">
        <f>B22</f>
        <v>10000</v>
      </c>
      <c r="C30" s="12">
        <f>C22</f>
        <v>25</v>
      </c>
      <c r="D30" s="4">
        <v>25</v>
      </c>
      <c r="E30" s="6">
        <f>C24</f>
        <v>4013.7179465800109</v>
      </c>
      <c r="G30" s="134">
        <v>2.5698499999999999E-4</v>
      </c>
      <c r="H30" s="30" t="s">
        <v>4</v>
      </c>
      <c r="I30" s="71">
        <v>10000</v>
      </c>
      <c r="J30" s="24"/>
      <c r="L30"/>
    </row>
    <row r="31" spans="2:13" ht="21" thickTop="1" thickBot="1">
      <c r="B31" s="32" t="s">
        <v>8</v>
      </c>
      <c r="C31" s="31">
        <f>B30*EXP(E30*((1/(D30+273.15))-(1/(C30+273.15))))</f>
        <v>10000</v>
      </c>
      <c r="D31" s="21"/>
      <c r="E31" s="21"/>
      <c r="G31" s="134">
        <v>2.6201309999999999E-6</v>
      </c>
      <c r="H31" s="30" t="s">
        <v>5</v>
      </c>
      <c r="I31" s="69"/>
      <c r="J31" s="24"/>
      <c r="L31"/>
    </row>
    <row r="32" spans="2:13" ht="20" thickTop="1">
      <c r="B32" s="20"/>
      <c r="E32" s="19"/>
      <c r="G32" s="134">
        <v>6.3830910000000002E-8</v>
      </c>
      <c r="H32" s="30" t="s">
        <v>16</v>
      </c>
      <c r="I32" s="69"/>
      <c r="J32" s="24"/>
      <c r="L32"/>
    </row>
    <row r="33" spans="2:13">
      <c r="B33" s="20"/>
      <c r="E33" s="19"/>
      <c r="G33" s="72"/>
      <c r="H33" s="29"/>
      <c r="I33" s="69"/>
      <c r="J33" s="24"/>
      <c r="L33"/>
    </row>
    <row r="34" spans="2:13">
      <c r="B34" s="20"/>
      <c r="E34" s="19"/>
      <c r="G34" s="73" t="s">
        <v>27</v>
      </c>
      <c r="H34" s="132">
        <v>555</v>
      </c>
      <c r="I34" s="133"/>
      <c r="J34" s="24"/>
      <c r="L34"/>
    </row>
    <row r="35" spans="2:13" ht="17" thickBot="1">
      <c r="B35" s="28" t="s">
        <v>24</v>
      </c>
      <c r="C35" s="27" t="s">
        <v>25</v>
      </c>
      <c r="D35" s="27" t="s">
        <v>18</v>
      </c>
      <c r="E35" s="26" t="s">
        <v>26</v>
      </c>
      <c r="G35" s="74" t="s">
        <v>14</v>
      </c>
      <c r="H35" s="25"/>
      <c r="I35" s="41"/>
      <c r="J35" s="24"/>
      <c r="L35"/>
    </row>
    <row r="36" spans="2:13" ht="17" thickBot="1">
      <c r="B36" s="10">
        <f>B22</f>
        <v>10000</v>
      </c>
      <c r="C36" s="11">
        <f>C22</f>
        <v>25</v>
      </c>
      <c r="D36" s="7">
        <v>555</v>
      </c>
      <c r="E36" s="6">
        <f>C24</f>
        <v>4013.7179465800109</v>
      </c>
      <c r="G36" s="42">
        <f>(G29+(G30*LN(H34/I30))+(G31*(LN(H34/I30))^2) +(G32*(LN(H34/I30))^3))^-1</f>
        <v>380.03477223265992</v>
      </c>
      <c r="H36" s="25" t="s">
        <v>7</v>
      </c>
      <c r="I36" s="41"/>
      <c r="J36" s="24"/>
      <c r="L36"/>
    </row>
    <row r="37" spans="2:13" ht="18" thickTop="1" thickBot="1">
      <c r="B37" s="23" t="s">
        <v>9</v>
      </c>
      <c r="C37" s="22">
        <f>(1/(C36+273.15)+(LN(D36/B36))/E36)^-1</f>
        <v>379.70205777751215</v>
      </c>
      <c r="D37" s="21"/>
      <c r="E37" s="21"/>
      <c r="G37" s="75">
        <f>G36-273.15</f>
        <v>106.88477223265994</v>
      </c>
      <c r="H37" s="25" t="s">
        <v>6</v>
      </c>
      <c r="I37" s="41"/>
      <c r="J37" s="24"/>
      <c r="L37"/>
    </row>
    <row r="38" spans="2:13" ht="18" thickTop="1" thickBot="1">
      <c r="B38" s="23" t="s">
        <v>10</v>
      </c>
      <c r="C38" s="22">
        <f>C37-273.15</f>
        <v>106.55205777751218</v>
      </c>
      <c r="D38" s="21"/>
      <c r="E38" s="21"/>
      <c r="G38" s="20"/>
      <c r="I38" s="19"/>
      <c r="L38"/>
    </row>
    <row r="39" spans="2:13" ht="17" thickTop="1">
      <c r="B39" s="20"/>
      <c r="E39" s="19"/>
      <c r="G39" s="20"/>
      <c r="I39" s="19"/>
      <c r="L39"/>
    </row>
    <row r="40" spans="2:13" ht="17" thickBot="1">
      <c r="B40" s="18"/>
      <c r="C40" s="17"/>
      <c r="D40" s="17"/>
      <c r="E40" s="16"/>
      <c r="G40" s="18"/>
      <c r="H40" s="17"/>
      <c r="I40" s="16"/>
      <c r="L40"/>
    </row>
    <row r="41" spans="2:13" ht="19">
      <c r="C41" s="15" t="s">
        <v>15</v>
      </c>
      <c r="L41"/>
    </row>
    <row r="42" spans="2:13">
      <c r="C42" s="14"/>
    </row>
    <row r="45" spans="2:13">
      <c r="M45">
        <f>5/5</f>
        <v>1</v>
      </c>
    </row>
    <row r="52" spans="4:5">
      <c r="D52" s="2"/>
      <c r="E52" s="2"/>
    </row>
  </sheetData>
  <sheetProtection sheet="1" objects="1" scenarios="1"/>
  <mergeCells count="2">
    <mergeCell ref="H18:I18"/>
    <mergeCell ref="H34:I34"/>
  </mergeCells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84B9E-1F0B-9246-A54B-F123A29CC273}">
  <dimension ref="E6:K17"/>
  <sheetViews>
    <sheetView topLeftCell="A4" workbookViewId="0">
      <selection activeCell="O152" sqref="O152"/>
    </sheetView>
  </sheetViews>
  <sheetFormatPr baseColWidth="10" defaultRowHeight="16"/>
  <cols>
    <col min="5" max="5" width="7.1640625" customWidth="1"/>
    <col min="6" max="6" width="19.33203125" customWidth="1"/>
    <col min="7" max="7" width="19.6640625" customWidth="1"/>
    <col min="8" max="8" width="20.33203125" customWidth="1"/>
    <col min="9" max="9" width="21.6640625" customWidth="1"/>
    <col min="10" max="10" width="25.83203125" customWidth="1"/>
  </cols>
  <sheetData>
    <row r="6" spans="5:11" ht="21">
      <c r="E6" s="3"/>
      <c r="F6" s="3"/>
      <c r="G6" s="3"/>
      <c r="H6" s="3"/>
      <c r="I6" s="3"/>
      <c r="J6" s="3"/>
      <c r="K6" s="3"/>
    </row>
    <row r="7" spans="5:11" ht="21">
      <c r="E7" s="3"/>
      <c r="F7" s="3"/>
      <c r="G7" s="3"/>
      <c r="H7" s="3"/>
      <c r="I7" s="3"/>
      <c r="J7" s="3"/>
      <c r="K7" s="3"/>
    </row>
    <row r="8" spans="5:11" ht="21">
      <c r="K8" s="3"/>
    </row>
    <row r="9" spans="5:11" ht="21">
      <c r="K9" s="3"/>
    </row>
    <row r="10" spans="5:11" ht="21">
      <c r="K10" s="3"/>
    </row>
    <row r="11" spans="5:11" ht="21">
      <c r="K11" s="3"/>
    </row>
    <row r="12" spans="5:11" ht="21">
      <c r="K12" s="3"/>
    </row>
    <row r="13" spans="5:11" ht="21">
      <c r="K13" s="3"/>
    </row>
    <row r="14" spans="5:11" ht="21">
      <c r="E14" s="3"/>
      <c r="F14" s="3"/>
      <c r="G14" s="3"/>
      <c r="H14" s="3"/>
      <c r="I14" s="3"/>
      <c r="J14" s="3"/>
      <c r="K14" s="3"/>
    </row>
    <row r="15" spans="5:11" ht="21">
      <c r="E15" s="3"/>
      <c r="F15" s="3"/>
      <c r="G15" s="3"/>
      <c r="H15" s="3"/>
      <c r="I15" s="3"/>
      <c r="J15" s="3"/>
      <c r="K15" s="3"/>
    </row>
    <row r="16" spans="5:11" ht="21">
      <c r="E16" s="3"/>
      <c r="F16" s="3"/>
      <c r="G16" s="3"/>
      <c r="H16" s="3"/>
      <c r="I16" s="3"/>
      <c r="J16" s="3"/>
      <c r="K16" s="3"/>
    </row>
    <row r="17" spans="5:11" ht="21">
      <c r="E17" s="3"/>
      <c r="F17" s="3"/>
      <c r="G17" s="3"/>
      <c r="H17" s="3"/>
      <c r="I17" s="3"/>
      <c r="J17" s="3"/>
      <c r="K17" s="3"/>
    </row>
  </sheetData>
  <sheetProtection sheet="1" objects="1" scenario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3rd Oder Eq</vt:lpstr>
      <vt:lpstr>4th Order Eq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Nowden</dc:creator>
  <cp:lastModifiedBy>Samuel Nowden</cp:lastModifiedBy>
  <dcterms:created xsi:type="dcterms:W3CDTF">2021-11-07T01:36:02Z</dcterms:created>
  <dcterms:modified xsi:type="dcterms:W3CDTF">2023-03-06T04:52:27Z</dcterms:modified>
</cp:coreProperties>
</file>